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263_61259bbdbf76d (2)" sheetId="1" r:id="rId1"/>
  </sheets>
  <definedNames/>
  <calcPr fullCalcOnLoad="1"/>
</workbook>
</file>

<file path=xl/sharedStrings.xml><?xml version="1.0" encoding="utf-8"?>
<sst xmlns="http://schemas.openxmlformats.org/spreadsheetml/2006/main" count="151" uniqueCount="16">
  <si>
    <t>双清区二○二一年教师选调面试花名册</t>
  </si>
  <si>
    <t>序号</t>
  </si>
  <si>
    <t>岗位名称</t>
  </si>
  <si>
    <t>姓名</t>
  </si>
  <si>
    <t>性别</t>
  </si>
  <si>
    <t>出生年月</t>
  </si>
  <si>
    <t>学历</t>
  </si>
  <si>
    <t>毕业院校</t>
  </si>
  <si>
    <t>所学专业</t>
  </si>
  <si>
    <t>现工作单位</t>
  </si>
  <si>
    <t>小学语文教师</t>
  </si>
  <si>
    <t>小学数学教师</t>
  </si>
  <si>
    <t>小学音乐教师</t>
  </si>
  <si>
    <t>初中语文教师</t>
  </si>
  <si>
    <t>初中数学教师</t>
  </si>
  <si>
    <t>初中英语教师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</si>
</sst>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workbookViewId="0" topLeftCell="A1">
      <selection activeCell="L7" sqref="L7"/>
    </sheetView>
  </sheetViews>
  <sheetFormatPr defaultColWidth="9.00390625" defaultRowHeight="15"/>
  <cols>
    <col min="1" max="1" width="4.28125" style="0" customWidth="1"/>
    <col min="2" max="2" width="14.421875" style="0" customWidth="1"/>
    <col min="3" max="3" width="7.8515625" style="0" customWidth="1"/>
    <col min="4" max="4" width="4.57421875" style="0" customWidth="1"/>
    <col min="5" max="5" width="11.421875" style="0" customWidth="1"/>
    <col min="6" max="6" width="7.421875" style="0" customWidth="1"/>
    <col min="7" max="7" width="19.421875" style="0" customWidth="1"/>
    <col min="8" max="8" width="15.421875" style="0" customWidth="1"/>
    <col min="9" max="9" width="35.57421875" style="0" customWidth="1"/>
  </cols>
  <sheetData>
    <row r="1" spans="1:9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3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3.5">
      <c r="A3" s="4">
        <v>1</v>
      </c>
      <c r="B3" s="4" t="s">
        <v>10</v>
      </c>
      <c r="C3" s="4" t="str">
        <f>"肖婷"</f>
        <v>肖婷</v>
      </c>
      <c r="D3" s="4" t="str">
        <f aca="true" t="shared" si="0" ref="D3:D66">"女"</f>
        <v>女</v>
      </c>
      <c r="E3" s="4" t="str">
        <f>"1989-11-12"</f>
        <v>1989-11-12</v>
      </c>
      <c r="F3" s="4" t="str">
        <f>"本科"</f>
        <v>本科</v>
      </c>
      <c r="G3" s="4" t="str">
        <f>"湖南商学院"</f>
        <v>湖南商学院</v>
      </c>
      <c r="H3" s="4" t="str">
        <f>"英语"</f>
        <v>英语</v>
      </c>
      <c r="I3" s="4" t="str">
        <f>"湖南省邵阳市隆回县周旺镇中心小学"</f>
        <v>湖南省邵阳市隆回县周旺镇中心小学</v>
      </c>
    </row>
    <row r="4" spans="1:9" ht="13.5">
      <c r="A4" s="4">
        <v>2</v>
      </c>
      <c r="B4" s="4" t="s">
        <v>10</v>
      </c>
      <c r="C4" s="4" t="str">
        <f>"罗建华"</f>
        <v>罗建华</v>
      </c>
      <c r="D4" s="4" t="str">
        <f t="shared" si="0"/>
        <v>女</v>
      </c>
      <c r="E4" s="4" t="str">
        <f>"1985-10-17"</f>
        <v>1985-10-17</v>
      </c>
      <c r="F4" s="4" t="str">
        <f>"研究生"</f>
        <v>研究生</v>
      </c>
      <c r="G4" s="4" t="str">
        <f>"湖南农业大学"</f>
        <v>湖南农业大学</v>
      </c>
      <c r="H4" s="4" t="str">
        <f>"高等教育学"</f>
        <v>高等教育学</v>
      </c>
      <c r="I4" s="4" t="str">
        <f>"湖南省邵阳县九公桥镇中心完全小学"</f>
        <v>湖南省邵阳县九公桥镇中心完全小学</v>
      </c>
    </row>
    <row r="5" spans="1:9" ht="13.5">
      <c r="A5" s="4">
        <v>3</v>
      </c>
      <c r="B5" s="4" t="s">
        <v>10</v>
      </c>
      <c r="C5" s="4" t="str">
        <f>"刘巧玲"</f>
        <v>刘巧玲</v>
      </c>
      <c r="D5" s="4" t="str">
        <f t="shared" si="0"/>
        <v>女</v>
      </c>
      <c r="E5" s="4" t="str">
        <f>"1988-01-19"</f>
        <v>1988-01-19</v>
      </c>
      <c r="F5" s="4" t="str">
        <f>"专科"</f>
        <v>专科</v>
      </c>
      <c r="G5" s="4" t="str">
        <f>"邵阳学院"</f>
        <v>邵阳学院</v>
      </c>
      <c r="H5" s="4" t="str">
        <f>"商务英语"</f>
        <v>商务英语</v>
      </c>
      <c r="I5" s="4" t="str">
        <f>"新邵县雀塘镇田庄明德小学"</f>
        <v>新邵县雀塘镇田庄明德小学</v>
      </c>
    </row>
    <row r="6" spans="1:9" ht="13.5">
      <c r="A6" s="4">
        <v>4</v>
      </c>
      <c r="B6" s="4" t="s">
        <v>10</v>
      </c>
      <c r="C6" s="4" t="str">
        <f>"姜黎黎"</f>
        <v>姜黎黎</v>
      </c>
      <c r="D6" s="4" t="str">
        <f t="shared" si="0"/>
        <v>女</v>
      </c>
      <c r="E6" s="4" t="str">
        <f>"1985-04-11"</f>
        <v>1985-04-11</v>
      </c>
      <c r="F6" s="4" t="str">
        <f>"本科"</f>
        <v>本科</v>
      </c>
      <c r="G6" s="4" t="str">
        <f>"湖南师范大学"</f>
        <v>湖南师范大学</v>
      </c>
      <c r="H6" s="4" t="str">
        <f>"汉语言文学"</f>
        <v>汉语言文学</v>
      </c>
      <c r="I6" s="4" t="str">
        <f>"湖南省邵阳市新邵县雀塘镇龙头学校"</f>
        <v>湖南省邵阳市新邵县雀塘镇龙头学校</v>
      </c>
    </row>
    <row r="7" spans="1:9" ht="13.5">
      <c r="A7" s="4">
        <v>5</v>
      </c>
      <c r="B7" s="4" t="s">
        <v>10</v>
      </c>
      <c r="C7" s="4" t="str">
        <f>"李红玉"</f>
        <v>李红玉</v>
      </c>
      <c r="D7" s="4" t="str">
        <f t="shared" si="0"/>
        <v>女</v>
      </c>
      <c r="E7" s="4" t="str">
        <f>"1986-02-05"</f>
        <v>1986-02-05</v>
      </c>
      <c r="F7" s="4" t="str">
        <f>"本科"</f>
        <v>本科</v>
      </c>
      <c r="G7" s="4" t="str">
        <f>"中南大学"</f>
        <v>中南大学</v>
      </c>
      <c r="H7" s="4" t="str">
        <f>"英语"</f>
        <v>英语</v>
      </c>
      <c r="I7" s="4" t="str">
        <f>"新邵县雀塘镇龙头学校"</f>
        <v>新邵县雀塘镇龙头学校</v>
      </c>
    </row>
    <row r="8" spans="1:9" ht="13.5">
      <c r="A8" s="4">
        <v>6</v>
      </c>
      <c r="B8" s="4" t="s">
        <v>10</v>
      </c>
      <c r="C8" s="4" t="str">
        <f>"陈璐"</f>
        <v>陈璐</v>
      </c>
      <c r="D8" s="4" t="str">
        <f t="shared" si="0"/>
        <v>女</v>
      </c>
      <c r="E8" s="4" t="str">
        <f>"1989-09-22"</f>
        <v>1989-09-22</v>
      </c>
      <c r="F8" s="4" t="str">
        <f>"本科"</f>
        <v>本科</v>
      </c>
      <c r="G8" s="4" t="str">
        <f>"湖南师范大学"</f>
        <v>湖南师范大学</v>
      </c>
      <c r="H8" s="4" t="str">
        <f>"教育管理"</f>
        <v>教育管理</v>
      </c>
      <c r="I8" s="4" t="str">
        <f>"新邵县雀塘镇中心完全小学"</f>
        <v>新邵县雀塘镇中心完全小学</v>
      </c>
    </row>
    <row r="9" spans="1:9" ht="13.5">
      <c r="A9" s="4">
        <v>7</v>
      </c>
      <c r="B9" s="4" t="s">
        <v>10</v>
      </c>
      <c r="C9" s="4" t="str">
        <f>"尹秋花"</f>
        <v>尹秋花</v>
      </c>
      <c r="D9" s="4" t="str">
        <f t="shared" si="0"/>
        <v>女</v>
      </c>
      <c r="E9" s="4" t="str">
        <f>"1991-09-19"</f>
        <v>1991-09-19</v>
      </c>
      <c r="F9" s="4" t="str">
        <f>"本科"</f>
        <v>本科</v>
      </c>
      <c r="G9" s="4" t="str">
        <f>"湖南第一师范学院"</f>
        <v>湖南第一师范学院</v>
      </c>
      <c r="H9" s="4" t="str">
        <f>"初等教育"</f>
        <v>初等教育</v>
      </c>
      <c r="I9" s="4" t="str">
        <f>"邵阳县塘渡口镇第五完小"</f>
        <v>邵阳县塘渡口镇第五完小</v>
      </c>
    </row>
    <row r="10" spans="1:9" ht="13.5">
      <c r="A10" s="4">
        <v>8</v>
      </c>
      <c r="B10" s="4" t="s">
        <v>10</v>
      </c>
      <c r="C10" s="4" t="str">
        <f>"范丽"</f>
        <v>范丽</v>
      </c>
      <c r="D10" s="4" t="str">
        <f t="shared" si="0"/>
        <v>女</v>
      </c>
      <c r="E10" s="4" t="str">
        <f>"1986-07-03"</f>
        <v>1986-07-03</v>
      </c>
      <c r="F10" s="4" t="str">
        <f>"专科"</f>
        <v>专科</v>
      </c>
      <c r="G10" s="4" t="str">
        <f>"湖南涉外经济学院"</f>
        <v>湖南涉外经济学院</v>
      </c>
      <c r="H10" s="4" t="str">
        <f>"计算机应用技术"</f>
        <v>计算机应用技术</v>
      </c>
      <c r="I10" s="4" t="str">
        <f>"邵阳市新邵县陈家坊镇乔石完全小学"</f>
        <v>邵阳市新邵县陈家坊镇乔石完全小学</v>
      </c>
    </row>
    <row r="11" spans="1:9" ht="13.5">
      <c r="A11" s="4">
        <v>9</v>
      </c>
      <c r="B11" s="4" t="s">
        <v>10</v>
      </c>
      <c r="C11" s="4" t="str">
        <f>"焦湘芗"</f>
        <v>焦湘芗</v>
      </c>
      <c r="D11" s="4" t="str">
        <f t="shared" si="0"/>
        <v>女</v>
      </c>
      <c r="E11" s="4" t="str">
        <f>"1989-02-07"</f>
        <v>1989-02-07</v>
      </c>
      <c r="F11" s="4" t="str">
        <f>"本科"</f>
        <v>本科</v>
      </c>
      <c r="G11" s="4" t="str">
        <f>"湖南省第一师范学院"</f>
        <v>湖南省第一师范学院</v>
      </c>
      <c r="H11" s="4" t="str">
        <f>"初等教育"</f>
        <v>初等教育</v>
      </c>
      <c r="I11" s="4" t="str">
        <f>"邵阳县塘渡口镇第五完小"</f>
        <v>邵阳县塘渡口镇第五完小</v>
      </c>
    </row>
    <row r="12" spans="1:9" ht="13.5">
      <c r="A12" s="4">
        <v>10</v>
      </c>
      <c r="B12" s="4" t="s">
        <v>10</v>
      </c>
      <c r="C12" s="4" t="str">
        <f>"吕秋红"</f>
        <v>吕秋红</v>
      </c>
      <c r="D12" s="4" t="str">
        <f t="shared" si="0"/>
        <v>女</v>
      </c>
      <c r="E12" s="4" t="str">
        <f>"1989-07-20"</f>
        <v>1989-07-20</v>
      </c>
      <c r="F12" s="4" t="str">
        <f>"专科"</f>
        <v>专科</v>
      </c>
      <c r="G12" s="4" t="str">
        <f>"湖南第一师范学院"</f>
        <v>湖南第一师范学院</v>
      </c>
      <c r="H12" s="4" t="str">
        <f>"初等教育"</f>
        <v>初等教育</v>
      </c>
      <c r="I12" s="4" t="str">
        <f>"新邵县陈家坊镇乔石完全小学"</f>
        <v>新邵县陈家坊镇乔石完全小学</v>
      </c>
    </row>
    <row r="13" spans="1:9" ht="13.5">
      <c r="A13" s="4">
        <v>11</v>
      </c>
      <c r="B13" s="4" t="s">
        <v>10</v>
      </c>
      <c r="C13" s="4" t="str">
        <f>"银维"</f>
        <v>银维</v>
      </c>
      <c r="D13" s="4" t="str">
        <f t="shared" si="0"/>
        <v>女</v>
      </c>
      <c r="E13" s="4" t="str">
        <f>"1989-03-15"</f>
        <v>1989-03-15</v>
      </c>
      <c r="F13" s="4" t="str">
        <f aca="true" t="shared" si="1" ref="F13:F25">"本科"</f>
        <v>本科</v>
      </c>
      <c r="G13" s="4" t="str">
        <f>"国家开放大学"</f>
        <v>国家开放大学</v>
      </c>
      <c r="H13" s="4" t="str">
        <f>"汉语言文学"</f>
        <v>汉语言文学</v>
      </c>
      <c r="I13" s="4" t="str">
        <f>"邵阳县塘渡口镇第三完全小学"</f>
        <v>邵阳县塘渡口镇第三完全小学</v>
      </c>
    </row>
    <row r="14" spans="1:9" ht="13.5">
      <c r="A14" s="4">
        <v>12</v>
      </c>
      <c r="B14" s="4" t="s">
        <v>10</v>
      </c>
      <c r="C14" s="4" t="str">
        <f>"段姝婷"</f>
        <v>段姝婷</v>
      </c>
      <c r="D14" s="4" t="str">
        <f t="shared" si="0"/>
        <v>女</v>
      </c>
      <c r="E14" s="4" t="str">
        <f>"1997-08-22"</f>
        <v>1997-08-22</v>
      </c>
      <c r="F14" s="4" t="str">
        <f t="shared" si="1"/>
        <v>本科</v>
      </c>
      <c r="G14" s="4" t="str">
        <f>"湖南第一师范学院"</f>
        <v>湖南第一师范学院</v>
      </c>
      <c r="H14" s="4" t="str">
        <f>"教育管理"</f>
        <v>教育管理</v>
      </c>
      <c r="I14" s="4" t="str">
        <f>"湖南省邵阳市隆回县横板桥镇中心小学"</f>
        <v>湖南省邵阳市隆回县横板桥镇中心小学</v>
      </c>
    </row>
    <row r="15" spans="1:9" ht="13.5">
      <c r="A15" s="4">
        <v>13</v>
      </c>
      <c r="B15" s="4" t="s">
        <v>10</v>
      </c>
      <c r="C15" s="4" t="str">
        <f>"张适意"</f>
        <v>张适意</v>
      </c>
      <c r="D15" s="4" t="str">
        <f t="shared" si="0"/>
        <v>女</v>
      </c>
      <c r="E15" s="4" t="str">
        <f>"1986-10-28"</f>
        <v>1986-10-28</v>
      </c>
      <c r="F15" s="4" t="str">
        <f t="shared" si="1"/>
        <v>本科</v>
      </c>
      <c r="G15" s="4" t="str">
        <f>"湖南师范大学"</f>
        <v>湖南师范大学</v>
      </c>
      <c r="H15" s="4" t="str">
        <f>"汉语言文学"</f>
        <v>汉语言文学</v>
      </c>
      <c r="I15" s="4" t="str">
        <f>"新邵县新田铺中心小学"</f>
        <v>新邵县新田铺中心小学</v>
      </c>
    </row>
    <row r="16" spans="1:9" ht="13.5">
      <c r="A16" s="4">
        <v>14</v>
      </c>
      <c r="B16" s="4" t="s">
        <v>10</v>
      </c>
      <c r="C16" s="4" t="str">
        <f>"伍芬妍"</f>
        <v>伍芬妍</v>
      </c>
      <c r="D16" s="4" t="str">
        <f t="shared" si="0"/>
        <v>女</v>
      </c>
      <c r="E16" s="4" t="str">
        <f>"1996-11-16"</f>
        <v>1996-11-16</v>
      </c>
      <c r="F16" s="4" t="str">
        <f t="shared" si="1"/>
        <v>本科</v>
      </c>
      <c r="G16" s="4" t="str">
        <f>"湖南第一师范学院"</f>
        <v>湖南第一师范学院</v>
      </c>
      <c r="H16" s="4" t="str">
        <f>"汉语言文学"</f>
        <v>汉语言文学</v>
      </c>
      <c r="I16" s="4" t="str">
        <f>"湖南省邵阳县教育局"</f>
        <v>湖南省邵阳县教育局</v>
      </c>
    </row>
    <row r="17" spans="1:9" ht="13.5">
      <c r="A17" s="4">
        <v>15</v>
      </c>
      <c r="B17" s="4" t="s">
        <v>10</v>
      </c>
      <c r="C17" s="4" t="str">
        <f>"陈文博"</f>
        <v>陈文博</v>
      </c>
      <c r="D17" s="4" t="str">
        <f t="shared" si="0"/>
        <v>女</v>
      </c>
      <c r="E17" s="4" t="str">
        <f>"1987-11-01"</f>
        <v>1987-11-01</v>
      </c>
      <c r="F17" s="4" t="str">
        <f t="shared" si="1"/>
        <v>本科</v>
      </c>
      <c r="G17" s="4" t="str">
        <f>"湖南农业大学"</f>
        <v>湖南农业大学</v>
      </c>
      <c r="H17" s="4" t="str">
        <f>"英语"</f>
        <v>英语</v>
      </c>
      <c r="I17" s="4" t="str">
        <f>"邵阳市新邵县酿溪镇沙湾学校"</f>
        <v>邵阳市新邵县酿溪镇沙湾学校</v>
      </c>
    </row>
    <row r="18" spans="1:9" ht="13.5">
      <c r="A18" s="4">
        <v>16</v>
      </c>
      <c r="B18" s="4" t="s">
        <v>10</v>
      </c>
      <c r="C18" s="4" t="str">
        <f>"雷殷佼"</f>
        <v>雷殷佼</v>
      </c>
      <c r="D18" s="4" t="str">
        <f t="shared" si="0"/>
        <v>女</v>
      </c>
      <c r="E18" s="4" t="str">
        <f>"1990-01-10"</f>
        <v>1990-01-10</v>
      </c>
      <c r="F18" s="4" t="str">
        <f t="shared" si="1"/>
        <v>本科</v>
      </c>
      <c r="G18" s="4" t="str">
        <f>"湖南大学"</f>
        <v>湖南大学</v>
      </c>
      <c r="H18" s="4" t="str">
        <f>"动画设计"</f>
        <v>动画设计</v>
      </c>
      <c r="I18" s="4" t="str">
        <f>"新邵县老山学校"</f>
        <v>新邵县老山学校</v>
      </c>
    </row>
    <row r="19" spans="1:9" ht="13.5">
      <c r="A19" s="4">
        <v>17</v>
      </c>
      <c r="B19" s="4" t="s">
        <v>10</v>
      </c>
      <c r="C19" s="4" t="str">
        <f>"唐娅"</f>
        <v>唐娅</v>
      </c>
      <c r="D19" s="4" t="str">
        <f t="shared" si="0"/>
        <v>女</v>
      </c>
      <c r="E19" s="4" t="str">
        <f>"1983-05-29"</f>
        <v>1983-05-29</v>
      </c>
      <c r="F19" s="4" t="str">
        <f t="shared" si="1"/>
        <v>本科</v>
      </c>
      <c r="G19" s="4" t="str">
        <f>"湘潭大学"</f>
        <v>湘潭大学</v>
      </c>
      <c r="H19" s="4" t="str">
        <f>"秘书学"</f>
        <v>秘书学</v>
      </c>
      <c r="I19" s="4" t="str">
        <f>"新邵县巨口铺镇白云铺完小"</f>
        <v>新邵县巨口铺镇白云铺完小</v>
      </c>
    </row>
    <row r="20" spans="1:9" ht="13.5">
      <c r="A20" s="4">
        <v>18</v>
      </c>
      <c r="B20" s="4" t="s">
        <v>10</v>
      </c>
      <c r="C20" s="4" t="str">
        <f>"雷时良"</f>
        <v>雷时良</v>
      </c>
      <c r="D20" s="4" t="str">
        <f t="shared" si="0"/>
        <v>女</v>
      </c>
      <c r="E20" s="4" t="str">
        <f>"1991-08-20"</f>
        <v>1991-08-20</v>
      </c>
      <c r="F20" s="4" t="str">
        <f t="shared" si="1"/>
        <v>本科</v>
      </c>
      <c r="G20" s="4" t="str">
        <f>"衡阳师范学院南岳学院"</f>
        <v>衡阳师范学院南岳学院</v>
      </c>
      <c r="H20" s="4" t="str">
        <f>"汉语言文学"</f>
        <v>汉语言文学</v>
      </c>
      <c r="I20" s="4" t="str">
        <f>"新邵县新田铺中学"</f>
        <v>新邵县新田铺中学</v>
      </c>
    </row>
    <row r="21" spans="1:9" ht="13.5">
      <c r="A21" s="4">
        <v>19</v>
      </c>
      <c r="B21" s="4" t="s">
        <v>10</v>
      </c>
      <c r="C21" s="4" t="str">
        <f>"李西娟"</f>
        <v>李西娟</v>
      </c>
      <c r="D21" s="4" t="str">
        <f t="shared" si="0"/>
        <v>女</v>
      </c>
      <c r="E21" s="4" t="str">
        <f>"1990-10-28"</f>
        <v>1990-10-28</v>
      </c>
      <c r="F21" s="4" t="str">
        <f t="shared" si="1"/>
        <v>本科</v>
      </c>
      <c r="G21" s="4" t="str">
        <f>"邵阳学院"</f>
        <v>邵阳学院</v>
      </c>
      <c r="H21" s="4" t="str">
        <f>"汉语言文学"</f>
        <v>汉语言文学</v>
      </c>
      <c r="I21" s="4" t="str">
        <f>"邵东市牛马司镇第二完全小学"</f>
        <v>邵东市牛马司镇第二完全小学</v>
      </c>
    </row>
    <row r="22" spans="1:9" ht="13.5">
      <c r="A22" s="4">
        <v>20</v>
      </c>
      <c r="B22" s="4" t="s">
        <v>10</v>
      </c>
      <c r="C22" s="4" t="str">
        <f>"罗红红"</f>
        <v>罗红红</v>
      </c>
      <c r="D22" s="4" t="str">
        <f t="shared" si="0"/>
        <v>女</v>
      </c>
      <c r="E22" s="4" t="str">
        <f>"1987-08-26"</f>
        <v>1987-08-26</v>
      </c>
      <c r="F22" s="4" t="str">
        <f t="shared" si="1"/>
        <v>本科</v>
      </c>
      <c r="G22" s="4" t="str">
        <f>"邵阳学院"</f>
        <v>邵阳学院</v>
      </c>
      <c r="H22" s="4" t="str">
        <f>"汉语言文学"</f>
        <v>汉语言文学</v>
      </c>
      <c r="I22" s="4" t="str">
        <f>"邵阳县长阳铺镇杉木岭小学"</f>
        <v>邵阳县长阳铺镇杉木岭小学</v>
      </c>
    </row>
    <row r="23" spans="1:9" ht="13.5">
      <c r="A23" s="4">
        <v>21</v>
      </c>
      <c r="B23" s="4" t="s">
        <v>10</v>
      </c>
      <c r="C23" s="4" t="str">
        <f>"邹倩"</f>
        <v>邹倩</v>
      </c>
      <c r="D23" s="4" t="str">
        <f t="shared" si="0"/>
        <v>女</v>
      </c>
      <c r="E23" s="4" t="str">
        <f>"1990-01-15"</f>
        <v>1990-01-15</v>
      </c>
      <c r="F23" s="4" t="str">
        <f t="shared" si="1"/>
        <v>本科</v>
      </c>
      <c r="G23" s="4" t="str">
        <f>"湖南师范大学"</f>
        <v>湖南师范大学</v>
      </c>
      <c r="H23" s="4" t="str">
        <f>"汉语言文学"</f>
        <v>汉语言文学</v>
      </c>
      <c r="I23" s="4" t="str">
        <f>"隆回县罗洪镇中心小学"</f>
        <v>隆回县罗洪镇中心小学</v>
      </c>
    </row>
    <row r="24" spans="1:9" ht="13.5">
      <c r="A24" s="4">
        <v>22</v>
      </c>
      <c r="B24" s="4" t="s">
        <v>10</v>
      </c>
      <c r="C24" s="4" t="str">
        <f>"罗峥"</f>
        <v>罗峥</v>
      </c>
      <c r="D24" s="4" t="str">
        <f t="shared" si="0"/>
        <v>女</v>
      </c>
      <c r="E24" s="4" t="str">
        <f>"1989-07-05"</f>
        <v>1989-07-05</v>
      </c>
      <c r="F24" s="4" t="str">
        <f t="shared" si="1"/>
        <v>本科</v>
      </c>
      <c r="G24" s="4" t="str">
        <f>"邵阳学院"</f>
        <v>邵阳学院</v>
      </c>
      <c r="H24" s="4" t="str">
        <f>"英语教育"</f>
        <v>英语教育</v>
      </c>
      <c r="I24" s="4" t="str">
        <f>"邵阳县岩口铺镇中心完全小学"</f>
        <v>邵阳县岩口铺镇中心完全小学</v>
      </c>
    </row>
    <row r="25" spans="1:9" ht="13.5">
      <c r="A25" s="4">
        <v>23</v>
      </c>
      <c r="B25" s="4" t="s">
        <v>10</v>
      </c>
      <c r="C25" s="4" t="str">
        <f>"李明彦"</f>
        <v>李明彦</v>
      </c>
      <c r="D25" s="4" t="str">
        <f t="shared" si="0"/>
        <v>女</v>
      </c>
      <c r="E25" s="4" t="str">
        <f>"1986-12-28"</f>
        <v>1986-12-28</v>
      </c>
      <c r="F25" s="4" t="str">
        <f t="shared" si="1"/>
        <v>本科</v>
      </c>
      <c r="G25" s="4" t="str">
        <f>"邵阳学院"</f>
        <v>邵阳学院</v>
      </c>
      <c r="H25" s="4" t="str">
        <f>"英语"</f>
        <v>英语</v>
      </c>
      <c r="I25" s="4" t="str">
        <f>"新邵县小塘镇中心小学"</f>
        <v>新邵县小塘镇中心小学</v>
      </c>
    </row>
    <row r="26" spans="1:9" ht="13.5">
      <c r="A26" s="4">
        <v>24</v>
      </c>
      <c r="B26" s="4" t="s">
        <v>10</v>
      </c>
      <c r="C26" s="4" t="str">
        <f>"周丽"</f>
        <v>周丽</v>
      </c>
      <c r="D26" s="4" t="str">
        <f t="shared" si="0"/>
        <v>女</v>
      </c>
      <c r="E26" s="4" t="str">
        <f>"1982-12-09"</f>
        <v>1982-12-09</v>
      </c>
      <c r="F26" s="4" t="str">
        <f>"专科"</f>
        <v>专科</v>
      </c>
      <c r="G26" s="4" t="str">
        <f>"中央广播电视大学"</f>
        <v>中央广播电视大学</v>
      </c>
      <c r="H26" s="4" t="str">
        <f>"英语（教育方向）"</f>
        <v>英语（教育方向）</v>
      </c>
      <c r="I26" s="4" t="str">
        <f>"邵阳县谷洲镇中心完小"</f>
        <v>邵阳县谷洲镇中心完小</v>
      </c>
    </row>
    <row r="27" spans="1:9" ht="13.5">
      <c r="A27" s="4">
        <v>25</v>
      </c>
      <c r="B27" s="4" t="s">
        <v>10</v>
      </c>
      <c r="C27" s="4" t="str">
        <f>"刘玉凤"</f>
        <v>刘玉凤</v>
      </c>
      <c r="D27" s="4" t="str">
        <f t="shared" si="0"/>
        <v>女</v>
      </c>
      <c r="E27" s="4" t="str">
        <f>"1993-01-01"</f>
        <v>1993-01-01</v>
      </c>
      <c r="F27" s="4" t="str">
        <f aca="true" t="shared" si="2" ref="F27:F37">"本科"</f>
        <v>本科</v>
      </c>
      <c r="G27" s="4" t="str">
        <f>"湖南第一师范学院"</f>
        <v>湖南第一师范学院</v>
      </c>
      <c r="H27" s="4" t="str">
        <f>"初等教育"</f>
        <v>初等教育</v>
      </c>
      <c r="I27" s="4" t="str">
        <f>"塘渡口第一完全小学"</f>
        <v>塘渡口第一完全小学</v>
      </c>
    </row>
    <row r="28" spans="1:9" ht="13.5">
      <c r="A28" s="4">
        <v>26</v>
      </c>
      <c r="B28" s="4" t="s">
        <v>10</v>
      </c>
      <c r="C28" s="4" t="str">
        <f>"杨媚"</f>
        <v>杨媚</v>
      </c>
      <c r="D28" s="4" t="str">
        <f t="shared" si="0"/>
        <v>女</v>
      </c>
      <c r="E28" s="4" t="str">
        <f>"1992-11-17"</f>
        <v>1992-11-17</v>
      </c>
      <c r="F28" s="4" t="str">
        <f t="shared" si="2"/>
        <v>本科</v>
      </c>
      <c r="G28" s="4" t="str">
        <f>"湖南女子学院"</f>
        <v>湖南女子学院</v>
      </c>
      <c r="H28" s="4" t="str">
        <f>"艺术设计"</f>
        <v>艺术设计</v>
      </c>
      <c r="I28" s="4" t="str">
        <f>"湖南省邵阳市新邵县潭府乡团结学校"</f>
        <v>湖南省邵阳市新邵县潭府乡团结学校</v>
      </c>
    </row>
    <row r="29" spans="1:9" ht="13.5">
      <c r="A29" s="4">
        <v>27</v>
      </c>
      <c r="B29" s="4" t="s">
        <v>10</v>
      </c>
      <c r="C29" s="4" t="str">
        <f>"邓海红"</f>
        <v>邓海红</v>
      </c>
      <c r="D29" s="4" t="str">
        <f t="shared" si="0"/>
        <v>女</v>
      </c>
      <c r="E29" s="4" t="str">
        <f>"1989-06-11"</f>
        <v>1989-06-11</v>
      </c>
      <c r="F29" s="4" t="str">
        <f t="shared" si="2"/>
        <v>本科</v>
      </c>
      <c r="G29" s="4" t="str">
        <f>"长沙教育学院"</f>
        <v>长沙教育学院</v>
      </c>
      <c r="H29" s="4" t="str">
        <f>"电脑艺术设计"</f>
        <v>电脑艺术设计</v>
      </c>
      <c r="I29" s="4" t="str">
        <f>"湖南省邵阳市邵阳县谷洲镇中心完全小学"</f>
        <v>湖南省邵阳市邵阳县谷洲镇中心完全小学</v>
      </c>
    </row>
    <row r="30" spans="1:9" ht="13.5">
      <c r="A30" s="4">
        <v>28</v>
      </c>
      <c r="B30" s="4" t="s">
        <v>10</v>
      </c>
      <c r="C30" s="4" t="str">
        <f>"曾文馨"</f>
        <v>曾文馨</v>
      </c>
      <c r="D30" s="4" t="str">
        <f t="shared" si="0"/>
        <v>女</v>
      </c>
      <c r="E30" s="4" t="str">
        <f>"1992-06-18"</f>
        <v>1992-06-18</v>
      </c>
      <c r="F30" s="4" t="str">
        <f t="shared" si="2"/>
        <v>本科</v>
      </c>
      <c r="G30" s="4" t="str">
        <f>"中南大学"</f>
        <v>中南大学</v>
      </c>
      <c r="H30" s="4" t="str">
        <f>"汉语言文学"</f>
        <v>汉语言文学</v>
      </c>
      <c r="I30" s="4" t="str">
        <f>"邵阳县长阳铺镇中心完小"</f>
        <v>邵阳县长阳铺镇中心完小</v>
      </c>
    </row>
    <row r="31" spans="1:9" ht="13.5">
      <c r="A31" s="4">
        <v>29</v>
      </c>
      <c r="B31" s="4" t="s">
        <v>10</v>
      </c>
      <c r="C31" s="4" t="str">
        <f>"姚婷"</f>
        <v>姚婷</v>
      </c>
      <c r="D31" s="4" t="str">
        <f t="shared" si="0"/>
        <v>女</v>
      </c>
      <c r="E31" s="4" t="str">
        <f>"1985-04-05"</f>
        <v>1985-04-05</v>
      </c>
      <c r="F31" s="4" t="str">
        <f t="shared" si="2"/>
        <v>本科</v>
      </c>
      <c r="G31" s="4" t="str">
        <f>"中央广播电视大学"</f>
        <v>中央广播电视大学</v>
      </c>
      <c r="H31" s="4" t="str">
        <f>"汉语言文学"</f>
        <v>汉语言文学</v>
      </c>
      <c r="I31" s="4" t="str">
        <f>"武冈市红星小学"</f>
        <v>武冈市红星小学</v>
      </c>
    </row>
    <row r="32" spans="1:9" ht="13.5">
      <c r="A32" s="4">
        <v>30</v>
      </c>
      <c r="B32" s="4" t="s">
        <v>10</v>
      </c>
      <c r="C32" s="4" t="str">
        <f>"唐雪"</f>
        <v>唐雪</v>
      </c>
      <c r="D32" s="4" t="str">
        <f t="shared" si="0"/>
        <v>女</v>
      </c>
      <c r="E32" s="4" t="str">
        <f>"1995-10-14"</f>
        <v>1995-10-14</v>
      </c>
      <c r="F32" s="4" t="str">
        <f t="shared" si="2"/>
        <v>本科</v>
      </c>
      <c r="G32" s="4" t="str">
        <f>"湖南第一师范学院"</f>
        <v>湖南第一师范学院</v>
      </c>
      <c r="H32" s="4" t="str">
        <f>"汉语言文学"</f>
        <v>汉语言文学</v>
      </c>
      <c r="I32" s="4" t="str">
        <f>"邵阳县岩口铺镇油麻井学校"</f>
        <v>邵阳县岩口铺镇油麻井学校</v>
      </c>
    </row>
    <row r="33" spans="1:9" ht="13.5">
      <c r="A33" s="4">
        <v>31</v>
      </c>
      <c r="B33" s="4" t="s">
        <v>10</v>
      </c>
      <c r="C33" s="4" t="str">
        <f>"何涛"</f>
        <v>何涛</v>
      </c>
      <c r="D33" s="4" t="str">
        <f t="shared" si="0"/>
        <v>女</v>
      </c>
      <c r="E33" s="4" t="str">
        <f>"1992-03-14"</f>
        <v>1992-03-14</v>
      </c>
      <c r="F33" s="4" t="str">
        <f t="shared" si="2"/>
        <v>本科</v>
      </c>
      <c r="G33" s="4" t="str">
        <f>"湖南理工学院"</f>
        <v>湖南理工学院</v>
      </c>
      <c r="H33" s="4" t="str">
        <f>"对外汉语"</f>
        <v>对外汉语</v>
      </c>
      <c r="I33" s="4" t="str">
        <f>"邵东市牛马司镇第二完全小学"</f>
        <v>邵东市牛马司镇第二完全小学</v>
      </c>
    </row>
    <row r="34" spans="1:9" ht="13.5">
      <c r="A34" s="4">
        <v>32</v>
      </c>
      <c r="B34" s="4" t="s">
        <v>10</v>
      </c>
      <c r="C34" s="4" t="str">
        <f>"乔娟"</f>
        <v>乔娟</v>
      </c>
      <c r="D34" s="4" t="str">
        <f t="shared" si="0"/>
        <v>女</v>
      </c>
      <c r="E34" s="4" t="str">
        <f>"1989-06-18"</f>
        <v>1989-06-18</v>
      </c>
      <c r="F34" s="4" t="str">
        <f t="shared" si="2"/>
        <v>本科</v>
      </c>
      <c r="G34" s="4" t="str">
        <f>"衡阳师范学院"</f>
        <v>衡阳师范学院</v>
      </c>
      <c r="H34" s="4" t="str">
        <f>"汉语言文学"</f>
        <v>汉语言文学</v>
      </c>
      <c r="I34" s="4" t="str">
        <f>"大祥区城南中心校田心学校"</f>
        <v>大祥区城南中心校田心学校</v>
      </c>
    </row>
    <row r="35" spans="1:9" ht="13.5">
      <c r="A35" s="4">
        <v>33</v>
      </c>
      <c r="B35" s="4" t="s">
        <v>10</v>
      </c>
      <c r="C35" s="4" t="str">
        <f>"白舒婷"</f>
        <v>白舒婷</v>
      </c>
      <c r="D35" s="4" t="str">
        <f t="shared" si="0"/>
        <v>女</v>
      </c>
      <c r="E35" s="4" t="str">
        <f>"1992-08-21"</f>
        <v>1992-08-21</v>
      </c>
      <c r="F35" s="4" t="str">
        <f t="shared" si="2"/>
        <v>本科</v>
      </c>
      <c r="G35" s="4" t="str">
        <f>"湖南师范大学"</f>
        <v>湖南师范大学</v>
      </c>
      <c r="H35" s="4" t="str">
        <f>"汉语言文学"</f>
        <v>汉语言文学</v>
      </c>
      <c r="I35" s="4" t="str">
        <f>"五峰铺镇二完小"</f>
        <v>五峰铺镇二完小</v>
      </c>
    </row>
    <row r="36" spans="1:9" ht="13.5">
      <c r="A36" s="4">
        <v>34</v>
      </c>
      <c r="B36" s="4" t="s">
        <v>10</v>
      </c>
      <c r="C36" s="4" t="str">
        <f>"刘梅芳"</f>
        <v>刘梅芳</v>
      </c>
      <c r="D36" s="4" t="str">
        <f t="shared" si="0"/>
        <v>女</v>
      </c>
      <c r="E36" s="4" t="str">
        <f>"1990-04-16"</f>
        <v>1990-04-16</v>
      </c>
      <c r="F36" s="4" t="str">
        <f t="shared" si="2"/>
        <v>本科</v>
      </c>
      <c r="G36" s="4" t="str">
        <f>"湖南师范大学树达学院"</f>
        <v>湖南师范大学树达学院</v>
      </c>
      <c r="H36" s="4" t="str">
        <f>"日语"</f>
        <v>日语</v>
      </c>
      <c r="I36" s="4" t="str">
        <f>"邵阳县诸甲亭乡唐干小学"</f>
        <v>邵阳县诸甲亭乡唐干小学</v>
      </c>
    </row>
    <row r="37" spans="1:9" ht="13.5">
      <c r="A37" s="4">
        <v>35</v>
      </c>
      <c r="B37" s="4" t="s">
        <v>10</v>
      </c>
      <c r="C37" s="4" t="str">
        <f>"汪乐"</f>
        <v>汪乐</v>
      </c>
      <c r="D37" s="4" t="str">
        <f t="shared" si="0"/>
        <v>女</v>
      </c>
      <c r="E37" s="4" t="str">
        <f>"1997-02-15"</f>
        <v>1997-02-15</v>
      </c>
      <c r="F37" s="4" t="str">
        <f t="shared" si="2"/>
        <v>本科</v>
      </c>
      <c r="G37" s="4" t="str">
        <f>"长沙师范学院"</f>
        <v>长沙师范学院</v>
      </c>
      <c r="H37" s="4" t="str">
        <f>"学前教育"</f>
        <v>学前教育</v>
      </c>
      <c r="I37" s="4" t="str">
        <f>"司门前镇金潭完全小学"</f>
        <v>司门前镇金潭完全小学</v>
      </c>
    </row>
    <row r="38" spans="1:9" ht="13.5">
      <c r="A38" s="4">
        <v>36</v>
      </c>
      <c r="B38" s="4" t="s">
        <v>10</v>
      </c>
      <c r="C38" s="4" t="str">
        <f>"徐嫚娜"</f>
        <v>徐嫚娜</v>
      </c>
      <c r="D38" s="4" t="str">
        <f t="shared" si="0"/>
        <v>女</v>
      </c>
      <c r="E38" s="4" t="str">
        <f>"1987-08-22"</f>
        <v>1987-08-22</v>
      </c>
      <c r="F38" s="4" t="str">
        <f>"专科"</f>
        <v>专科</v>
      </c>
      <c r="G38" s="4" t="str">
        <f>"邵阳学院"</f>
        <v>邵阳学院</v>
      </c>
      <c r="H38" s="4" t="str">
        <f>"英语教育"</f>
        <v>英语教育</v>
      </c>
      <c r="I38" s="4" t="str">
        <f>"金江乡初级中学"</f>
        <v>金江乡初级中学</v>
      </c>
    </row>
    <row r="39" spans="1:9" ht="13.5">
      <c r="A39" s="4">
        <v>37</v>
      </c>
      <c r="B39" s="4" t="s">
        <v>10</v>
      </c>
      <c r="C39" s="4" t="str">
        <f>"卢琴"</f>
        <v>卢琴</v>
      </c>
      <c r="D39" s="4" t="str">
        <f t="shared" si="0"/>
        <v>女</v>
      </c>
      <c r="E39" s="4" t="str">
        <f>"1990-09-01"</f>
        <v>1990-09-01</v>
      </c>
      <c r="F39" s="4" t="str">
        <f aca="true" t="shared" si="3" ref="F39:F44">"本科"</f>
        <v>本科</v>
      </c>
      <c r="G39" s="4" t="str">
        <f>"湖南第一师范学院"</f>
        <v>湖南第一师范学院</v>
      </c>
      <c r="H39" s="4" t="str">
        <f>"教育管理"</f>
        <v>教育管理</v>
      </c>
      <c r="I39" s="4" t="str">
        <f>"隆回县鸭田镇石鼓小学"</f>
        <v>隆回县鸭田镇石鼓小学</v>
      </c>
    </row>
    <row r="40" spans="1:9" ht="13.5">
      <c r="A40" s="4">
        <v>38</v>
      </c>
      <c r="B40" s="4" t="s">
        <v>10</v>
      </c>
      <c r="C40" s="4" t="str">
        <f>"刘娟"</f>
        <v>刘娟</v>
      </c>
      <c r="D40" s="4" t="str">
        <f t="shared" si="0"/>
        <v>女</v>
      </c>
      <c r="E40" s="4" t="str">
        <f>"1988-08-12"</f>
        <v>1988-08-12</v>
      </c>
      <c r="F40" s="4" t="str">
        <f t="shared" si="3"/>
        <v>本科</v>
      </c>
      <c r="G40" s="4" t="str">
        <f>"湖南师范大学"</f>
        <v>湖南师范大学</v>
      </c>
      <c r="H40" s="4" t="str">
        <f>"公共事业管理"</f>
        <v>公共事业管理</v>
      </c>
      <c r="I40" s="4" t="str">
        <f>"隆回县六都寨镇中学"</f>
        <v>隆回县六都寨镇中学</v>
      </c>
    </row>
    <row r="41" spans="1:9" ht="13.5">
      <c r="A41" s="4">
        <v>39</v>
      </c>
      <c r="B41" s="4" t="s">
        <v>10</v>
      </c>
      <c r="C41" s="4" t="str">
        <f>"廖凤鸣"</f>
        <v>廖凤鸣</v>
      </c>
      <c r="D41" s="4" t="str">
        <f t="shared" si="0"/>
        <v>女</v>
      </c>
      <c r="E41" s="4" t="str">
        <f>"1991-11-03"</f>
        <v>1991-11-03</v>
      </c>
      <c r="F41" s="4" t="str">
        <f t="shared" si="3"/>
        <v>本科</v>
      </c>
      <c r="G41" s="4" t="str">
        <f>"湖南第一师范学院"</f>
        <v>湖南第一师范学院</v>
      </c>
      <c r="H41" s="4" t="str">
        <f>"教育管理"</f>
        <v>教育管理</v>
      </c>
      <c r="I41" s="4" t="str">
        <f>"隆回县大水田乡中心小学"</f>
        <v>隆回县大水田乡中心小学</v>
      </c>
    </row>
    <row r="42" spans="1:9" ht="13.5">
      <c r="A42" s="4">
        <v>40</v>
      </c>
      <c r="B42" s="4" t="s">
        <v>10</v>
      </c>
      <c r="C42" s="4" t="str">
        <f>"肖喜梅"</f>
        <v>肖喜梅</v>
      </c>
      <c r="D42" s="4" t="str">
        <f t="shared" si="0"/>
        <v>女</v>
      </c>
      <c r="E42" s="4" t="str">
        <f>"1994-04-08"</f>
        <v>1994-04-08</v>
      </c>
      <c r="F42" s="4" t="str">
        <f t="shared" si="3"/>
        <v>本科</v>
      </c>
      <c r="G42" s="4" t="str">
        <f>"湖南第一师范学院"</f>
        <v>湖南第一师范学院</v>
      </c>
      <c r="H42" s="4" t="str">
        <f>"教育管理"</f>
        <v>教育管理</v>
      </c>
      <c r="I42" s="4" t="str">
        <f>"邵阳县下花桥镇石联小学"</f>
        <v>邵阳县下花桥镇石联小学</v>
      </c>
    </row>
    <row r="43" spans="1:9" ht="13.5">
      <c r="A43" s="4">
        <v>41</v>
      </c>
      <c r="B43" s="4" t="s">
        <v>10</v>
      </c>
      <c r="C43" s="4" t="str">
        <f>"申筑竹"</f>
        <v>申筑竹</v>
      </c>
      <c r="D43" s="4" t="str">
        <f t="shared" si="0"/>
        <v>女</v>
      </c>
      <c r="E43" s="4" t="str">
        <f>"1993-08-04"</f>
        <v>1993-08-04</v>
      </c>
      <c r="F43" s="4" t="str">
        <f t="shared" si="3"/>
        <v>本科</v>
      </c>
      <c r="G43" s="4" t="str">
        <f>"湖南第一师范学院"</f>
        <v>湖南第一师范学院</v>
      </c>
      <c r="H43" s="4" t="str">
        <f>"教育管理"</f>
        <v>教育管理</v>
      </c>
      <c r="I43" s="4" t="str">
        <f>"邵东市牛马司镇第二完全小学"</f>
        <v>邵东市牛马司镇第二完全小学</v>
      </c>
    </row>
    <row r="44" spans="1:9" ht="13.5">
      <c r="A44" s="4">
        <v>42</v>
      </c>
      <c r="B44" s="4" t="s">
        <v>10</v>
      </c>
      <c r="C44" s="4" t="str">
        <f>"刘亚琴"</f>
        <v>刘亚琴</v>
      </c>
      <c r="D44" s="4" t="str">
        <f t="shared" si="0"/>
        <v>女</v>
      </c>
      <c r="E44" s="4" t="str">
        <f>"1982-03-15"</f>
        <v>1982-03-15</v>
      </c>
      <c r="F44" s="4" t="str">
        <f t="shared" si="3"/>
        <v>本科</v>
      </c>
      <c r="G44" s="4" t="str">
        <f>"衡阳师范学院"</f>
        <v>衡阳师范学院</v>
      </c>
      <c r="H44" s="4" t="str">
        <f>"汉语言文学"</f>
        <v>汉语言文学</v>
      </c>
      <c r="I44" s="4" t="str">
        <f>"邵阳县塘田市镇中心完小"</f>
        <v>邵阳县塘田市镇中心完小</v>
      </c>
    </row>
    <row r="45" spans="1:9" ht="13.5">
      <c r="A45" s="4">
        <v>43</v>
      </c>
      <c r="B45" s="4" t="s">
        <v>10</v>
      </c>
      <c r="C45" s="4" t="str">
        <f>"唐逞"</f>
        <v>唐逞</v>
      </c>
      <c r="D45" s="4" t="str">
        <f t="shared" si="0"/>
        <v>女</v>
      </c>
      <c r="E45" s="4" t="str">
        <f>"1988-07-24"</f>
        <v>1988-07-24</v>
      </c>
      <c r="F45" s="4" t="str">
        <f>"专科"</f>
        <v>专科</v>
      </c>
      <c r="G45" s="4" t="str">
        <f>"株洲师范高等专科学校"</f>
        <v>株洲师范高等专科学校</v>
      </c>
      <c r="H45" s="4" t="str">
        <f>"计算机教育"</f>
        <v>计算机教育</v>
      </c>
      <c r="I45" s="4" t="str">
        <f>"新邵县新田铺镇喻射小学"</f>
        <v>新邵县新田铺镇喻射小学</v>
      </c>
    </row>
    <row r="46" spans="1:9" ht="13.5">
      <c r="A46" s="4">
        <v>44</v>
      </c>
      <c r="B46" s="4" t="s">
        <v>10</v>
      </c>
      <c r="C46" s="4" t="str">
        <f>"伍春艳"</f>
        <v>伍春艳</v>
      </c>
      <c r="D46" s="4" t="str">
        <f t="shared" si="0"/>
        <v>女</v>
      </c>
      <c r="E46" s="4" t="str">
        <f>"1989-02-03"</f>
        <v>1989-02-03</v>
      </c>
      <c r="F46" s="4" t="str">
        <f aca="true" t="shared" si="4" ref="F46:F67">"本科"</f>
        <v>本科</v>
      </c>
      <c r="G46" s="4" t="str">
        <f>"湖南科技大学潇湘学院"</f>
        <v>湖南科技大学潇湘学院</v>
      </c>
      <c r="H46" s="4" t="str">
        <f>"汉语言文学"</f>
        <v>汉语言文学</v>
      </c>
      <c r="I46" s="4" t="str">
        <f>"新邵县新田铺镇小庙头完全小学"</f>
        <v>新邵县新田铺镇小庙头完全小学</v>
      </c>
    </row>
    <row r="47" spans="1:9" ht="13.5">
      <c r="A47" s="4">
        <v>45</v>
      </c>
      <c r="B47" s="4" t="s">
        <v>10</v>
      </c>
      <c r="C47" s="4" t="str">
        <f>"邓柳飞"</f>
        <v>邓柳飞</v>
      </c>
      <c r="D47" s="4" t="str">
        <f t="shared" si="0"/>
        <v>女</v>
      </c>
      <c r="E47" s="4" t="str">
        <f>"1992-11-20"</f>
        <v>1992-11-20</v>
      </c>
      <c r="F47" s="4" t="str">
        <f t="shared" si="4"/>
        <v>本科</v>
      </c>
      <c r="G47" s="4" t="str">
        <f>"湖南科技大学潇湘学院"</f>
        <v>湖南科技大学潇湘学院</v>
      </c>
      <c r="H47" s="4" t="str">
        <f>"英语"</f>
        <v>英语</v>
      </c>
      <c r="I47" s="4" t="str">
        <f>"邵阳县罗城乡中心完全小学"</f>
        <v>邵阳县罗城乡中心完全小学</v>
      </c>
    </row>
    <row r="48" spans="1:9" ht="13.5">
      <c r="A48" s="4">
        <v>46</v>
      </c>
      <c r="B48" s="4" t="s">
        <v>10</v>
      </c>
      <c r="C48" s="4" t="str">
        <f>"何小巧"</f>
        <v>何小巧</v>
      </c>
      <c r="D48" s="4" t="str">
        <f t="shared" si="0"/>
        <v>女</v>
      </c>
      <c r="E48" s="4" t="str">
        <f>"1990-09-25"</f>
        <v>1990-09-25</v>
      </c>
      <c r="F48" s="4" t="str">
        <f t="shared" si="4"/>
        <v>本科</v>
      </c>
      <c r="G48" s="4" t="str">
        <f>"湖南第一师范学院"</f>
        <v>湖南第一师范学院</v>
      </c>
      <c r="H48" s="4" t="str">
        <f>"教育管理"</f>
        <v>教育管理</v>
      </c>
      <c r="I48" s="4" t="str">
        <f>"邵阳县塘渡口镇第一完全小学"</f>
        <v>邵阳县塘渡口镇第一完全小学</v>
      </c>
    </row>
    <row r="49" spans="1:9" ht="13.5">
      <c r="A49" s="4">
        <v>47</v>
      </c>
      <c r="B49" s="4" t="s">
        <v>10</v>
      </c>
      <c r="C49" s="4" t="str">
        <f>"罗思思"</f>
        <v>罗思思</v>
      </c>
      <c r="D49" s="4" t="str">
        <f t="shared" si="0"/>
        <v>女</v>
      </c>
      <c r="E49" s="4" t="str">
        <f>"1986-11-27"</f>
        <v>1986-11-27</v>
      </c>
      <c r="F49" s="4" t="str">
        <f t="shared" si="4"/>
        <v>本科</v>
      </c>
      <c r="G49" s="4" t="str">
        <f>"湖南师范大学"</f>
        <v>湖南师范大学</v>
      </c>
      <c r="H49" s="4" t="str">
        <f>"教育管理"</f>
        <v>教育管理</v>
      </c>
      <c r="I49" s="4" t="str">
        <f>"邵阳市新邵县潭府乡中心幼儿园"</f>
        <v>邵阳市新邵县潭府乡中心幼儿园</v>
      </c>
    </row>
    <row r="50" spans="1:9" ht="13.5">
      <c r="A50" s="4">
        <v>48</v>
      </c>
      <c r="B50" s="4" t="s">
        <v>10</v>
      </c>
      <c r="C50" s="4" t="str">
        <f>"王少民"</f>
        <v>王少民</v>
      </c>
      <c r="D50" s="4" t="str">
        <f t="shared" si="0"/>
        <v>女</v>
      </c>
      <c r="E50" s="4" t="str">
        <f>"1991-12-28"</f>
        <v>1991-12-28</v>
      </c>
      <c r="F50" s="4" t="str">
        <f t="shared" si="4"/>
        <v>本科</v>
      </c>
      <c r="G50" s="4" t="str">
        <f>"湖南师范大学"</f>
        <v>湖南师范大学</v>
      </c>
      <c r="H50" s="4" t="str">
        <f>"汉语言文学"</f>
        <v>汉语言文学</v>
      </c>
      <c r="I50" s="4" t="str">
        <f>"新邵县陈家坊镇观山完全小学"</f>
        <v>新邵县陈家坊镇观山完全小学</v>
      </c>
    </row>
    <row r="51" spans="1:9" ht="13.5">
      <c r="A51" s="4">
        <v>49</v>
      </c>
      <c r="B51" s="4" t="s">
        <v>10</v>
      </c>
      <c r="C51" s="4" t="str">
        <f>"彭蕾"</f>
        <v>彭蕾</v>
      </c>
      <c r="D51" s="4" t="str">
        <f t="shared" si="0"/>
        <v>女</v>
      </c>
      <c r="E51" s="4" t="str">
        <f>"1989-05-16"</f>
        <v>1989-05-16</v>
      </c>
      <c r="F51" s="4" t="str">
        <f t="shared" si="4"/>
        <v>本科</v>
      </c>
      <c r="G51" s="4" t="str">
        <f>"湖南省师范大学"</f>
        <v>湖南省师范大学</v>
      </c>
      <c r="H51" s="4" t="str">
        <f>"教育管理"</f>
        <v>教育管理</v>
      </c>
      <c r="I51" s="4" t="str">
        <f>"湖南省邵阳市邵阳县九公桥镇完小"</f>
        <v>湖南省邵阳市邵阳县九公桥镇完小</v>
      </c>
    </row>
    <row r="52" spans="1:9" ht="13.5">
      <c r="A52" s="4">
        <v>50</v>
      </c>
      <c r="B52" s="4" t="s">
        <v>10</v>
      </c>
      <c r="C52" s="4" t="str">
        <f>"龙辰美"</f>
        <v>龙辰美</v>
      </c>
      <c r="D52" s="4" t="str">
        <f t="shared" si="0"/>
        <v>女</v>
      </c>
      <c r="E52" s="4" t="str">
        <f>"1994-02-23"</f>
        <v>1994-02-23</v>
      </c>
      <c r="F52" s="4" t="str">
        <f t="shared" si="4"/>
        <v>本科</v>
      </c>
      <c r="G52" s="4" t="str">
        <f>"邵阳学院"</f>
        <v>邵阳学院</v>
      </c>
      <c r="H52" s="4" t="str">
        <f>"小学教育"</f>
        <v>小学教育</v>
      </c>
      <c r="I52" s="4" t="str">
        <f>"邵阳县谷洲镇小江学校"</f>
        <v>邵阳县谷洲镇小江学校</v>
      </c>
    </row>
    <row r="53" spans="1:9" ht="13.5">
      <c r="A53" s="4">
        <v>51</v>
      </c>
      <c r="B53" s="4" t="s">
        <v>10</v>
      </c>
      <c r="C53" s="4" t="str">
        <f>"黄如娥"</f>
        <v>黄如娥</v>
      </c>
      <c r="D53" s="4" t="str">
        <f t="shared" si="0"/>
        <v>女</v>
      </c>
      <c r="E53" s="4" t="str">
        <f>"1989-10-14"</f>
        <v>1989-10-14</v>
      </c>
      <c r="F53" s="4" t="str">
        <f t="shared" si="4"/>
        <v>本科</v>
      </c>
      <c r="G53" s="4" t="str">
        <f>"湖南师范大学"</f>
        <v>湖南师范大学</v>
      </c>
      <c r="H53" s="4" t="str">
        <f>"小学教育"</f>
        <v>小学教育</v>
      </c>
      <c r="I53" s="4" t="str">
        <f>"新邵县陈家坊镇中心小学"</f>
        <v>新邵县陈家坊镇中心小学</v>
      </c>
    </row>
    <row r="54" spans="1:9" ht="13.5">
      <c r="A54" s="4">
        <v>52</v>
      </c>
      <c r="B54" s="4" t="s">
        <v>10</v>
      </c>
      <c r="C54" s="4" t="str">
        <f>"黄利云"</f>
        <v>黄利云</v>
      </c>
      <c r="D54" s="4" t="str">
        <f t="shared" si="0"/>
        <v>女</v>
      </c>
      <c r="E54" s="4" t="str">
        <f>"1988-10-05"</f>
        <v>1988-10-05</v>
      </c>
      <c r="F54" s="4" t="str">
        <f t="shared" si="4"/>
        <v>本科</v>
      </c>
      <c r="G54" s="4" t="str">
        <f>"邵阳学院"</f>
        <v>邵阳学院</v>
      </c>
      <c r="H54" s="4" t="str">
        <f>"英语"</f>
        <v>英语</v>
      </c>
      <c r="I54" s="4" t="str">
        <f>"隆回县滩头镇三面九年义务制学校"</f>
        <v>隆回县滩头镇三面九年义务制学校</v>
      </c>
    </row>
    <row r="55" spans="1:9" ht="13.5">
      <c r="A55" s="4">
        <v>53</v>
      </c>
      <c r="B55" s="4" t="s">
        <v>10</v>
      </c>
      <c r="C55" s="4" t="str">
        <f>"杨雯露"</f>
        <v>杨雯露</v>
      </c>
      <c r="D55" s="4" t="str">
        <f t="shared" si="0"/>
        <v>女</v>
      </c>
      <c r="E55" s="4" t="str">
        <f>"1993-04-28"</f>
        <v>1993-04-28</v>
      </c>
      <c r="F55" s="4" t="str">
        <f t="shared" si="4"/>
        <v>本科</v>
      </c>
      <c r="G55" s="4" t="str">
        <f>"湖南第一师范学院"</f>
        <v>湖南第一师范学院</v>
      </c>
      <c r="H55" s="4" t="str">
        <f>"初等教育"</f>
        <v>初等教育</v>
      </c>
      <c r="I55" s="4" t="str">
        <f>"隆回县小沙江镇中心小学"</f>
        <v>隆回县小沙江镇中心小学</v>
      </c>
    </row>
    <row r="56" spans="1:9" ht="13.5">
      <c r="A56" s="4">
        <v>54</v>
      </c>
      <c r="B56" s="4" t="s">
        <v>10</v>
      </c>
      <c r="C56" s="4" t="str">
        <f>"伍智卉"</f>
        <v>伍智卉</v>
      </c>
      <c r="D56" s="4" t="str">
        <f t="shared" si="0"/>
        <v>女</v>
      </c>
      <c r="E56" s="4" t="str">
        <f>"1994-02-28"</f>
        <v>1994-02-28</v>
      </c>
      <c r="F56" s="4" t="str">
        <f t="shared" si="4"/>
        <v>本科</v>
      </c>
      <c r="G56" s="4" t="str">
        <f>"湖南省第一师范学院"</f>
        <v>湖南省第一师范学院</v>
      </c>
      <c r="H56" s="4" t="str">
        <f>"教育管理"</f>
        <v>教育管理</v>
      </c>
      <c r="I56" s="4" t="str">
        <f>"湖南省邵阳市邵阳县五峰铺镇中心完小"</f>
        <v>湖南省邵阳市邵阳县五峰铺镇中心完小</v>
      </c>
    </row>
    <row r="57" spans="1:9" ht="13.5">
      <c r="A57" s="4">
        <v>55</v>
      </c>
      <c r="B57" s="4" t="s">
        <v>10</v>
      </c>
      <c r="C57" s="4" t="str">
        <f>"曾令歆"</f>
        <v>曾令歆</v>
      </c>
      <c r="D57" s="4" t="str">
        <f t="shared" si="0"/>
        <v>女</v>
      </c>
      <c r="E57" s="4" t="str">
        <f>"1992-05-14"</f>
        <v>1992-05-14</v>
      </c>
      <c r="F57" s="4" t="str">
        <f t="shared" si="4"/>
        <v>本科</v>
      </c>
      <c r="G57" s="4" t="str">
        <f>"湖南第一师范学院"</f>
        <v>湖南第一师范学院</v>
      </c>
      <c r="H57" s="4" t="str">
        <f>"初等教育"</f>
        <v>初等教育</v>
      </c>
      <c r="I57" s="4" t="str">
        <f>"邵东市牛马司镇水井头学校"</f>
        <v>邵东市牛马司镇水井头学校</v>
      </c>
    </row>
    <row r="58" spans="1:9" ht="13.5">
      <c r="A58" s="4">
        <v>56</v>
      </c>
      <c r="B58" s="4" t="s">
        <v>10</v>
      </c>
      <c r="C58" s="4" t="str">
        <f>"郑修缘"</f>
        <v>郑修缘</v>
      </c>
      <c r="D58" s="4" t="str">
        <f t="shared" si="0"/>
        <v>女</v>
      </c>
      <c r="E58" s="4" t="str">
        <f>"1990-09-10"</f>
        <v>1990-09-10</v>
      </c>
      <c r="F58" s="4" t="str">
        <f t="shared" si="4"/>
        <v>本科</v>
      </c>
      <c r="G58" s="4" t="str">
        <f>"湖南农业大学"</f>
        <v>湖南农业大学</v>
      </c>
      <c r="H58" s="4" t="str">
        <f>"教育学"</f>
        <v>教育学</v>
      </c>
      <c r="I58" s="4" t="str">
        <f>"邵阳县五峰铺镇中心完全小学"</f>
        <v>邵阳县五峰铺镇中心完全小学</v>
      </c>
    </row>
    <row r="59" spans="1:9" ht="13.5">
      <c r="A59" s="4">
        <v>57</v>
      </c>
      <c r="B59" s="4" t="s">
        <v>10</v>
      </c>
      <c r="C59" s="4" t="str">
        <f>"黄美容"</f>
        <v>黄美容</v>
      </c>
      <c r="D59" s="4" t="str">
        <f t="shared" si="0"/>
        <v>女</v>
      </c>
      <c r="E59" s="4" t="str">
        <f>"1988-01-29"</f>
        <v>1988-01-29</v>
      </c>
      <c r="F59" s="4" t="str">
        <f t="shared" si="4"/>
        <v>本科</v>
      </c>
      <c r="G59" s="4" t="str">
        <f>"焦作师范高等专科学校"</f>
        <v>焦作师范高等专科学校</v>
      </c>
      <c r="H59" s="4" t="str">
        <f>"语文教育"</f>
        <v>语文教育</v>
      </c>
      <c r="I59" s="4" t="str">
        <f>"新邵县小塘镇罗家坳完全小学"</f>
        <v>新邵县小塘镇罗家坳完全小学</v>
      </c>
    </row>
    <row r="60" spans="1:9" ht="13.5">
      <c r="A60" s="4">
        <v>58</v>
      </c>
      <c r="B60" s="4" t="s">
        <v>10</v>
      </c>
      <c r="C60" s="4" t="str">
        <f>"曾莹"</f>
        <v>曾莹</v>
      </c>
      <c r="D60" s="4" t="str">
        <f t="shared" si="0"/>
        <v>女</v>
      </c>
      <c r="E60" s="4" t="str">
        <f>"1993-09-12"</f>
        <v>1993-09-12</v>
      </c>
      <c r="F60" s="4" t="str">
        <f t="shared" si="4"/>
        <v>本科</v>
      </c>
      <c r="G60" s="4" t="str">
        <f>"长沙理工大学"</f>
        <v>长沙理工大学</v>
      </c>
      <c r="H60" s="4" t="str">
        <f>"会计电算化"</f>
        <v>会计电算化</v>
      </c>
      <c r="I60" s="4" t="str">
        <f>"新邵县小塘镇中心小学"</f>
        <v>新邵县小塘镇中心小学</v>
      </c>
    </row>
    <row r="61" spans="1:9" ht="13.5">
      <c r="A61" s="4">
        <v>59</v>
      </c>
      <c r="B61" s="4" t="s">
        <v>10</v>
      </c>
      <c r="C61" s="4" t="str">
        <f>"梁凤"</f>
        <v>梁凤</v>
      </c>
      <c r="D61" s="4" t="str">
        <f t="shared" si="0"/>
        <v>女</v>
      </c>
      <c r="E61" s="4" t="str">
        <f>"1992-10-15"</f>
        <v>1992-10-15</v>
      </c>
      <c r="F61" s="4" t="str">
        <f t="shared" si="4"/>
        <v>本科</v>
      </c>
      <c r="G61" s="4" t="str">
        <f>"湖南第一师范学院"</f>
        <v>湖南第一师范学院</v>
      </c>
      <c r="H61" s="4" t="str">
        <f>"教育管理"</f>
        <v>教育管理</v>
      </c>
      <c r="I61" s="4" t="str">
        <f>"邵阳市隆回县滩头镇三面九年义务教育学校"</f>
        <v>邵阳市隆回县滩头镇三面九年义务教育学校</v>
      </c>
    </row>
    <row r="62" spans="1:9" ht="13.5">
      <c r="A62" s="4">
        <v>60</v>
      </c>
      <c r="B62" s="4" t="s">
        <v>10</v>
      </c>
      <c r="C62" s="4" t="str">
        <f>"刘翠琳"</f>
        <v>刘翠琳</v>
      </c>
      <c r="D62" s="4" t="str">
        <f t="shared" si="0"/>
        <v>女</v>
      </c>
      <c r="E62" s="4" t="str">
        <f>"1987-11-09"</f>
        <v>1987-11-09</v>
      </c>
      <c r="F62" s="4" t="str">
        <f t="shared" si="4"/>
        <v>本科</v>
      </c>
      <c r="G62" s="4" t="str">
        <f>"湘南学院"</f>
        <v>湘南学院</v>
      </c>
      <c r="H62" s="4" t="str">
        <f>"英语"</f>
        <v>英语</v>
      </c>
      <c r="I62" s="4" t="str">
        <f>"隆回周旺中学"</f>
        <v>隆回周旺中学</v>
      </c>
    </row>
    <row r="63" spans="1:9" ht="13.5">
      <c r="A63" s="4">
        <v>61</v>
      </c>
      <c r="B63" s="4" t="s">
        <v>10</v>
      </c>
      <c r="C63" s="4" t="str">
        <f>"王小晓"</f>
        <v>王小晓</v>
      </c>
      <c r="D63" s="4" t="str">
        <f t="shared" si="0"/>
        <v>女</v>
      </c>
      <c r="E63" s="4" t="str">
        <f>"1982-12-10"</f>
        <v>1982-12-10</v>
      </c>
      <c r="F63" s="4" t="str">
        <f t="shared" si="4"/>
        <v>本科</v>
      </c>
      <c r="G63" s="4" t="str">
        <f>"湖南师范大学"</f>
        <v>湖南师范大学</v>
      </c>
      <c r="H63" s="4" t="str">
        <f>"汉语言文学"</f>
        <v>汉语言文学</v>
      </c>
      <c r="I63" s="4" t="str">
        <f>"邵阳县塘渡口镇第五完全小学"</f>
        <v>邵阳县塘渡口镇第五完全小学</v>
      </c>
    </row>
    <row r="64" spans="1:9" ht="13.5">
      <c r="A64" s="4">
        <v>62</v>
      </c>
      <c r="B64" s="4" t="s">
        <v>10</v>
      </c>
      <c r="C64" s="4" t="str">
        <f>"杨峰"</f>
        <v>杨峰</v>
      </c>
      <c r="D64" s="4" t="str">
        <f t="shared" si="0"/>
        <v>女</v>
      </c>
      <c r="E64" s="4" t="str">
        <f>"1988-03-03"</f>
        <v>1988-03-03</v>
      </c>
      <c r="F64" s="4" t="str">
        <f t="shared" si="4"/>
        <v>本科</v>
      </c>
      <c r="G64" s="4" t="str">
        <f>"邵阳学院"</f>
        <v>邵阳学院</v>
      </c>
      <c r="H64" s="4" t="str">
        <f>"英语"</f>
        <v>英语</v>
      </c>
      <c r="I64" s="4" t="str">
        <f>"邵阳县长阳铺镇中心完小"</f>
        <v>邵阳县长阳铺镇中心完小</v>
      </c>
    </row>
    <row r="65" spans="1:9" ht="13.5">
      <c r="A65" s="4">
        <v>63</v>
      </c>
      <c r="B65" s="4" t="s">
        <v>10</v>
      </c>
      <c r="C65" s="4" t="str">
        <f>"杨晓东"</f>
        <v>杨晓东</v>
      </c>
      <c r="D65" s="4" t="str">
        <f t="shared" si="0"/>
        <v>女</v>
      </c>
      <c r="E65" s="4" t="str">
        <f>"1983-04-14"</f>
        <v>1983-04-14</v>
      </c>
      <c r="F65" s="4" t="str">
        <f t="shared" si="4"/>
        <v>本科</v>
      </c>
      <c r="G65" s="4" t="str">
        <f>"邵阳学院"</f>
        <v>邵阳学院</v>
      </c>
      <c r="H65" s="4" t="str">
        <f>"英语(外贸方向)"</f>
        <v>英语(外贸方向)</v>
      </c>
      <c r="I65" s="4" t="str">
        <f>"湖南省邵阳县金称市镇中心完小"</f>
        <v>湖南省邵阳县金称市镇中心完小</v>
      </c>
    </row>
    <row r="66" spans="1:9" ht="13.5">
      <c r="A66" s="4">
        <v>64</v>
      </c>
      <c r="B66" s="4" t="s">
        <v>10</v>
      </c>
      <c r="C66" s="4" t="str">
        <f>"罗超玲"</f>
        <v>罗超玲</v>
      </c>
      <c r="D66" s="4" t="str">
        <f t="shared" si="0"/>
        <v>女</v>
      </c>
      <c r="E66" s="4" t="str">
        <f>"1983-09-13"</f>
        <v>1983-09-13</v>
      </c>
      <c r="F66" s="4" t="str">
        <f t="shared" si="4"/>
        <v>本科</v>
      </c>
      <c r="G66" s="4" t="str">
        <f>"湖南师范大学"</f>
        <v>湖南师范大学</v>
      </c>
      <c r="H66" s="4" t="str">
        <f>"汉语言文学"</f>
        <v>汉语言文学</v>
      </c>
      <c r="I66" s="4" t="str">
        <f>"邵阳县长阳铺镇中心完小"</f>
        <v>邵阳县长阳铺镇中心完小</v>
      </c>
    </row>
    <row r="67" spans="1:9" ht="13.5">
      <c r="A67" s="4">
        <v>65</v>
      </c>
      <c r="B67" s="4" t="s">
        <v>10</v>
      </c>
      <c r="C67" s="4" t="str">
        <f>"朱娟"</f>
        <v>朱娟</v>
      </c>
      <c r="D67" s="4" t="str">
        <f aca="true" t="shared" si="5" ref="D67:D78">"女"</f>
        <v>女</v>
      </c>
      <c r="E67" s="4" t="str">
        <f>"1988-08-13"</f>
        <v>1988-08-13</v>
      </c>
      <c r="F67" s="4" t="str">
        <f t="shared" si="4"/>
        <v>本科</v>
      </c>
      <c r="G67" s="4" t="str">
        <f>"吉首大学"</f>
        <v>吉首大学</v>
      </c>
      <c r="H67" s="4" t="str">
        <f>"英语(师范)"</f>
        <v>英语(师范)</v>
      </c>
      <c r="I67" s="4" t="str">
        <f>"邵东市魏家桥镇霞光小学"</f>
        <v>邵东市魏家桥镇霞光小学</v>
      </c>
    </row>
    <row r="68" spans="1:9" ht="13.5">
      <c r="A68" s="4">
        <v>66</v>
      </c>
      <c r="B68" s="4" t="s">
        <v>10</v>
      </c>
      <c r="C68" s="4" t="str">
        <f>"杨彩雄"</f>
        <v>杨彩雄</v>
      </c>
      <c r="D68" s="4" t="str">
        <f t="shared" si="5"/>
        <v>女</v>
      </c>
      <c r="E68" s="4" t="str">
        <f>"1983-11-14"</f>
        <v>1983-11-14</v>
      </c>
      <c r="F68" s="4" t="str">
        <f>"专科"</f>
        <v>专科</v>
      </c>
      <c r="G68" s="4" t="str">
        <f>"邵阳学院"</f>
        <v>邵阳学院</v>
      </c>
      <c r="H68" s="4" t="str">
        <f>"初等教育专业"</f>
        <v>初等教育专业</v>
      </c>
      <c r="I68" s="4" t="str">
        <f>"新邵县新田铺镇石马江小学"</f>
        <v>新邵县新田铺镇石马江小学</v>
      </c>
    </row>
    <row r="69" spans="1:9" ht="13.5">
      <c r="A69" s="4">
        <v>67</v>
      </c>
      <c r="B69" s="4" t="s">
        <v>10</v>
      </c>
      <c r="C69" s="4" t="str">
        <f>"李海"</f>
        <v>李海</v>
      </c>
      <c r="D69" s="4" t="str">
        <f t="shared" si="5"/>
        <v>女</v>
      </c>
      <c r="E69" s="4" t="str">
        <f>"1984-01-20"</f>
        <v>1984-01-20</v>
      </c>
      <c r="F69" s="4" t="str">
        <f>"专科"</f>
        <v>专科</v>
      </c>
      <c r="G69" s="4" t="str">
        <f>"湖南省第一师范学校"</f>
        <v>湖南省第一师范学校</v>
      </c>
      <c r="H69" s="4" t="str">
        <f>"初等教育"</f>
        <v>初等教育</v>
      </c>
      <c r="I69" s="4" t="str">
        <f>"邵阳市邵阳县九公桥镇中心完小"</f>
        <v>邵阳市邵阳县九公桥镇中心完小</v>
      </c>
    </row>
    <row r="70" spans="1:9" ht="13.5">
      <c r="A70" s="4">
        <v>68</v>
      </c>
      <c r="B70" s="4" t="s">
        <v>10</v>
      </c>
      <c r="C70" s="4" t="str">
        <f>"李卓丰"</f>
        <v>李卓丰</v>
      </c>
      <c r="D70" s="4" t="str">
        <f t="shared" si="5"/>
        <v>女</v>
      </c>
      <c r="E70" s="4" t="str">
        <f>"1987-03-12"</f>
        <v>1987-03-12</v>
      </c>
      <c r="F70" s="4" t="str">
        <f aca="true" t="shared" si="6" ref="F70:F77">"本科"</f>
        <v>本科</v>
      </c>
      <c r="G70" s="4" t="str">
        <f>"湖南农业大学"</f>
        <v>湖南农业大学</v>
      </c>
      <c r="H70" s="4" t="str">
        <f>"公共事业管理"</f>
        <v>公共事业管理</v>
      </c>
      <c r="I70" s="4" t="str">
        <f>"邵阳市新邵县雀塘镇中心小学"</f>
        <v>邵阳市新邵县雀塘镇中心小学</v>
      </c>
    </row>
    <row r="71" spans="1:9" ht="13.5">
      <c r="A71" s="4">
        <v>69</v>
      </c>
      <c r="B71" s="4" t="s">
        <v>10</v>
      </c>
      <c r="C71" s="4" t="str">
        <f>"颜甜"</f>
        <v>颜甜</v>
      </c>
      <c r="D71" s="4" t="str">
        <f t="shared" si="5"/>
        <v>女</v>
      </c>
      <c r="E71" s="4" t="str">
        <f>"1993-05-15"</f>
        <v>1993-05-15</v>
      </c>
      <c r="F71" s="4" t="str">
        <f t="shared" si="6"/>
        <v>本科</v>
      </c>
      <c r="G71" s="4" t="str">
        <f>"湖南师范大学"</f>
        <v>湖南师范大学</v>
      </c>
      <c r="H71" s="4" t="str">
        <f>"小学教育"</f>
        <v>小学教育</v>
      </c>
      <c r="I71" s="4" t="str">
        <f>"邵东市魏家桥镇官桥铺小学"</f>
        <v>邵东市魏家桥镇官桥铺小学</v>
      </c>
    </row>
    <row r="72" spans="1:9" ht="13.5">
      <c r="A72" s="4">
        <v>70</v>
      </c>
      <c r="B72" s="4" t="s">
        <v>10</v>
      </c>
      <c r="C72" s="4" t="str">
        <f>"朱妮"</f>
        <v>朱妮</v>
      </c>
      <c r="D72" s="4" t="str">
        <f t="shared" si="5"/>
        <v>女</v>
      </c>
      <c r="E72" s="4" t="str">
        <f>"1986-10-11"</f>
        <v>1986-10-11</v>
      </c>
      <c r="F72" s="4" t="str">
        <f t="shared" si="6"/>
        <v>本科</v>
      </c>
      <c r="G72" s="4" t="str">
        <f>"陕西师范大学"</f>
        <v>陕西师范大学</v>
      </c>
      <c r="H72" s="4" t="str">
        <f>"汉语言文学"</f>
        <v>汉语言文学</v>
      </c>
      <c r="I72" s="4" t="str">
        <f>"新邵县酿溪镇第一完全小学"</f>
        <v>新邵县酿溪镇第一完全小学</v>
      </c>
    </row>
    <row r="73" spans="1:9" ht="13.5">
      <c r="A73" s="4">
        <v>71</v>
      </c>
      <c r="B73" s="4" t="s">
        <v>10</v>
      </c>
      <c r="C73" s="4" t="str">
        <f>"刘丽群"</f>
        <v>刘丽群</v>
      </c>
      <c r="D73" s="4" t="str">
        <f t="shared" si="5"/>
        <v>女</v>
      </c>
      <c r="E73" s="4" t="str">
        <f>"1984-10-27"</f>
        <v>1984-10-27</v>
      </c>
      <c r="F73" s="4" t="str">
        <f t="shared" si="6"/>
        <v>本科</v>
      </c>
      <c r="G73" s="4" t="str">
        <f>"湖南师范大学"</f>
        <v>湖南师范大学</v>
      </c>
      <c r="H73" s="4" t="str">
        <f>"汉语言文学"</f>
        <v>汉语言文学</v>
      </c>
      <c r="I73" s="4" t="str">
        <f>"洞口县山门镇市镇完全小学"</f>
        <v>洞口县山门镇市镇完全小学</v>
      </c>
    </row>
    <row r="74" spans="1:9" ht="13.5">
      <c r="A74" s="4">
        <v>72</v>
      </c>
      <c r="B74" s="4" t="s">
        <v>10</v>
      </c>
      <c r="C74" s="4" t="str">
        <f>"刘红霞"</f>
        <v>刘红霞</v>
      </c>
      <c r="D74" s="4" t="str">
        <f t="shared" si="5"/>
        <v>女</v>
      </c>
      <c r="E74" s="4" t="str">
        <f>"1989-03-26"</f>
        <v>1989-03-26</v>
      </c>
      <c r="F74" s="4" t="str">
        <f t="shared" si="6"/>
        <v>本科</v>
      </c>
      <c r="G74" s="4" t="str">
        <f>"湖南师范大学"</f>
        <v>湖南师范大学</v>
      </c>
      <c r="H74" s="4" t="str">
        <f>"数学与应用数学"</f>
        <v>数学与应用数学</v>
      </c>
      <c r="I74" s="4" t="str">
        <f>"新邵县寸石学校"</f>
        <v>新邵县寸石学校</v>
      </c>
    </row>
    <row r="75" spans="1:9" ht="13.5">
      <c r="A75" s="4">
        <v>73</v>
      </c>
      <c r="B75" s="4" t="s">
        <v>10</v>
      </c>
      <c r="C75" s="4" t="str">
        <f>"周霞丰"</f>
        <v>周霞丰</v>
      </c>
      <c r="D75" s="4" t="str">
        <f t="shared" si="5"/>
        <v>女</v>
      </c>
      <c r="E75" s="4" t="str">
        <f>"1989-03-18"</f>
        <v>1989-03-18</v>
      </c>
      <c r="F75" s="4" t="str">
        <f t="shared" si="6"/>
        <v>本科</v>
      </c>
      <c r="G75" s="4" t="str">
        <f>"湖南师范大学"</f>
        <v>湖南师范大学</v>
      </c>
      <c r="H75" s="4" t="str">
        <f>"英语"</f>
        <v>英语</v>
      </c>
      <c r="I75" s="4" t="str">
        <f>"隆回县高平镇马落中学"</f>
        <v>隆回县高平镇马落中学</v>
      </c>
    </row>
    <row r="76" spans="1:9" ht="13.5">
      <c r="A76" s="4">
        <v>74</v>
      </c>
      <c r="B76" s="4" t="s">
        <v>10</v>
      </c>
      <c r="C76" s="4" t="str">
        <f>"蒋丹"</f>
        <v>蒋丹</v>
      </c>
      <c r="D76" s="4" t="str">
        <f t="shared" si="5"/>
        <v>女</v>
      </c>
      <c r="E76" s="4" t="str">
        <f>"1985-04-17"</f>
        <v>1985-04-17</v>
      </c>
      <c r="F76" s="4" t="str">
        <f t="shared" si="6"/>
        <v>本科</v>
      </c>
      <c r="G76" s="4" t="str">
        <f>"湖南师范大学"</f>
        <v>湖南师范大学</v>
      </c>
      <c r="H76" s="4" t="str">
        <f>"汉语言文学"</f>
        <v>汉语言文学</v>
      </c>
      <c r="I76" s="4" t="str">
        <f>"邵阳县塘渡口镇第五完小"</f>
        <v>邵阳县塘渡口镇第五完小</v>
      </c>
    </row>
    <row r="77" spans="1:9" ht="13.5">
      <c r="A77" s="4">
        <v>75</v>
      </c>
      <c r="B77" s="4" t="s">
        <v>10</v>
      </c>
      <c r="C77" s="4" t="str">
        <f>"曾雪"</f>
        <v>曾雪</v>
      </c>
      <c r="D77" s="4" t="str">
        <f t="shared" si="5"/>
        <v>女</v>
      </c>
      <c r="E77" s="4" t="str">
        <f>"1989-01-26"</f>
        <v>1989-01-26</v>
      </c>
      <c r="F77" s="4" t="str">
        <f t="shared" si="6"/>
        <v>本科</v>
      </c>
      <c r="G77" s="4" t="str">
        <f>"云南师范大学商学院"</f>
        <v>云南师范大学商学院</v>
      </c>
      <c r="H77" s="4" t="str">
        <f>"国际经济与贸易"</f>
        <v>国际经济与贸易</v>
      </c>
      <c r="I77" s="4" t="str">
        <f>"洞口县花古街道正龙完全小学"</f>
        <v>洞口县花古街道正龙完全小学</v>
      </c>
    </row>
    <row r="78" spans="1:9" ht="13.5">
      <c r="A78" s="4">
        <v>76</v>
      </c>
      <c r="B78" s="4" t="s">
        <v>10</v>
      </c>
      <c r="C78" s="4" t="str">
        <f>"傅小含"</f>
        <v>傅小含</v>
      </c>
      <c r="D78" s="4" t="str">
        <f t="shared" si="5"/>
        <v>女</v>
      </c>
      <c r="E78" s="4" t="str">
        <f>"1991-08-12"</f>
        <v>1991-08-12</v>
      </c>
      <c r="F78" s="4" t="str">
        <f>"专科"</f>
        <v>专科</v>
      </c>
      <c r="G78" s="4" t="str">
        <f>"湖南民族职业学院"</f>
        <v>湖南民族职业学院</v>
      </c>
      <c r="H78" s="4" t="str">
        <f>"初等教育"</f>
        <v>初等教育</v>
      </c>
      <c r="I78" s="4" t="str">
        <f>"湖南省洞口县杨林镇杨林完全小学"</f>
        <v>湖南省洞口县杨林镇杨林完全小学</v>
      </c>
    </row>
    <row r="79" spans="1:9" ht="13.5">
      <c r="A79" s="4">
        <v>77</v>
      </c>
      <c r="B79" s="4" t="s">
        <v>10</v>
      </c>
      <c r="C79" s="4" t="str">
        <f>"覃东良"</f>
        <v>覃东良</v>
      </c>
      <c r="D79" s="4" t="str">
        <f>"男"</f>
        <v>男</v>
      </c>
      <c r="E79" s="4" t="str">
        <f>"1981-12-20"</f>
        <v>1981-12-20</v>
      </c>
      <c r="F79" s="4" t="str">
        <f>"本科"</f>
        <v>本科</v>
      </c>
      <c r="G79" s="4" t="str">
        <f>"陕西师大"</f>
        <v>陕西师大</v>
      </c>
      <c r="H79" s="4" t="str">
        <f>"汉语言文学"</f>
        <v>汉语言文学</v>
      </c>
      <c r="I79" s="4" t="str">
        <f>"邵阳县湾塘中学"</f>
        <v>邵阳县湾塘中学</v>
      </c>
    </row>
    <row r="80" spans="1:9" ht="13.5">
      <c r="A80" s="4">
        <v>78</v>
      </c>
      <c r="B80" s="4" t="s">
        <v>10</v>
      </c>
      <c r="C80" s="4" t="str">
        <f>"罗丹梅"</f>
        <v>罗丹梅</v>
      </c>
      <c r="D80" s="4" t="str">
        <f aca="true" t="shared" si="7" ref="D80:D133">"女"</f>
        <v>女</v>
      </c>
      <c r="E80" s="4" t="str">
        <f>"1991-04-28"</f>
        <v>1991-04-28</v>
      </c>
      <c r="F80" s="4" t="str">
        <f>"专科"</f>
        <v>专科</v>
      </c>
      <c r="G80" s="4" t="str">
        <f>"湖南省第一师范学院"</f>
        <v>湖南省第一师范学院</v>
      </c>
      <c r="H80" s="4" t="str">
        <f>"初等教育"</f>
        <v>初等教育</v>
      </c>
      <c r="I80" s="4" t="str">
        <f>"湖南省邵阳县塘渡口镇第五完小"</f>
        <v>湖南省邵阳县塘渡口镇第五完小</v>
      </c>
    </row>
    <row r="81" spans="1:9" ht="13.5">
      <c r="A81" s="4">
        <v>79</v>
      </c>
      <c r="B81" s="4" t="s">
        <v>10</v>
      </c>
      <c r="C81" s="4" t="str">
        <f>"覃迎春"</f>
        <v>覃迎春</v>
      </c>
      <c r="D81" s="4" t="str">
        <f t="shared" si="7"/>
        <v>女</v>
      </c>
      <c r="E81" s="4" t="str">
        <f>"1986-02-05"</f>
        <v>1986-02-05</v>
      </c>
      <c r="F81" s="4" t="str">
        <f>"本科"</f>
        <v>本科</v>
      </c>
      <c r="G81" s="4" t="str">
        <f>"江西师范大学"</f>
        <v>江西师范大学</v>
      </c>
      <c r="H81" s="4" t="str">
        <f>"汉语言文学"</f>
        <v>汉语言文学</v>
      </c>
      <c r="I81" s="4" t="str">
        <f>"邵阳县长阳铺镇中心完全小学"</f>
        <v>邵阳县长阳铺镇中心完全小学</v>
      </c>
    </row>
    <row r="82" spans="1:9" ht="13.5">
      <c r="A82" s="4">
        <v>80</v>
      </c>
      <c r="B82" s="4" t="s">
        <v>10</v>
      </c>
      <c r="C82" s="4" t="str">
        <f>"周红英"</f>
        <v>周红英</v>
      </c>
      <c r="D82" s="4" t="str">
        <f t="shared" si="7"/>
        <v>女</v>
      </c>
      <c r="E82" s="4" t="str">
        <f>"1990-11-02"</f>
        <v>1990-11-02</v>
      </c>
      <c r="F82" s="4" t="str">
        <f>"本科"</f>
        <v>本科</v>
      </c>
      <c r="G82" s="4" t="str">
        <f>"江西师范大学"</f>
        <v>江西师范大学</v>
      </c>
      <c r="H82" s="4" t="str">
        <f>"教育管理"</f>
        <v>教育管理</v>
      </c>
      <c r="I82" s="4" t="str">
        <f>"武冈市湾头桥镇中心小学"</f>
        <v>武冈市湾头桥镇中心小学</v>
      </c>
    </row>
    <row r="83" spans="1:9" ht="13.5">
      <c r="A83" s="4">
        <v>81</v>
      </c>
      <c r="B83" s="4" t="s">
        <v>10</v>
      </c>
      <c r="C83" s="4" t="str">
        <f>"付亮"</f>
        <v>付亮</v>
      </c>
      <c r="D83" s="4" t="str">
        <f t="shared" si="7"/>
        <v>女</v>
      </c>
      <c r="E83" s="4" t="str">
        <f>"1983-09-09"</f>
        <v>1983-09-09</v>
      </c>
      <c r="F83" s="4" t="str">
        <f>"专科"</f>
        <v>专科</v>
      </c>
      <c r="G83" s="4" t="str">
        <f>"吉首大学"</f>
        <v>吉首大学</v>
      </c>
      <c r="H83" s="4" t="str">
        <f>"初等教育"</f>
        <v>初等教育</v>
      </c>
      <c r="I83" s="4" t="str">
        <f>"陈家坊镇中学"</f>
        <v>陈家坊镇中学</v>
      </c>
    </row>
    <row r="84" spans="1:9" ht="13.5">
      <c r="A84" s="4">
        <v>82</v>
      </c>
      <c r="B84" s="4" t="s">
        <v>11</v>
      </c>
      <c r="C84" s="4" t="str">
        <f>"吴兰兰"</f>
        <v>吴兰兰</v>
      </c>
      <c r="D84" s="4" t="str">
        <f t="shared" si="7"/>
        <v>女</v>
      </c>
      <c r="E84" s="4" t="str">
        <f>"1988-07-25"</f>
        <v>1988-07-25</v>
      </c>
      <c r="F84" s="4" t="str">
        <f>"本科"</f>
        <v>本科</v>
      </c>
      <c r="G84" s="4" t="str">
        <f>"邵阳学院"</f>
        <v>邵阳学院</v>
      </c>
      <c r="H84" s="4" t="str">
        <f>"数学与应用数学"</f>
        <v>数学与应用数学</v>
      </c>
      <c r="I84" s="4" t="str">
        <f>"黄亭市镇双龙小学"</f>
        <v>黄亭市镇双龙小学</v>
      </c>
    </row>
    <row r="85" spans="1:9" ht="13.5">
      <c r="A85" s="4">
        <v>83</v>
      </c>
      <c r="B85" s="4" t="s">
        <v>11</v>
      </c>
      <c r="C85" s="4" t="str">
        <f>"钟艳萍"</f>
        <v>钟艳萍</v>
      </c>
      <c r="D85" s="4" t="str">
        <f t="shared" si="7"/>
        <v>女</v>
      </c>
      <c r="E85" s="4" t="str">
        <f>"1990-09-20"</f>
        <v>1990-09-20</v>
      </c>
      <c r="F85" s="4" t="str">
        <f>"专科"</f>
        <v>专科</v>
      </c>
      <c r="G85" s="4" t="str">
        <f>"湖南第一师范"</f>
        <v>湖南第一师范</v>
      </c>
      <c r="H85" s="4" t="str">
        <f>"初等教育"</f>
        <v>初等教育</v>
      </c>
      <c r="I85" s="4" t="str">
        <f>"山界九年义务教育学校"</f>
        <v>山界九年义务教育学校</v>
      </c>
    </row>
    <row r="86" spans="1:9" ht="13.5">
      <c r="A86" s="4">
        <v>84</v>
      </c>
      <c r="B86" s="4" t="s">
        <v>11</v>
      </c>
      <c r="C86" s="4" t="str">
        <f>"李莉"</f>
        <v>李莉</v>
      </c>
      <c r="D86" s="4" t="str">
        <f t="shared" si="7"/>
        <v>女</v>
      </c>
      <c r="E86" s="4" t="str">
        <f>"1989-09-09"</f>
        <v>1989-09-09</v>
      </c>
      <c r="F86" s="4" t="str">
        <f aca="true" t="shared" si="8" ref="F86:F92">"本科"</f>
        <v>本科</v>
      </c>
      <c r="G86" s="4" t="str">
        <f>"邵阳学院"</f>
        <v>邵阳学院</v>
      </c>
      <c r="H86" s="4" t="str">
        <f>"数学与应用数学"</f>
        <v>数学与应用数学</v>
      </c>
      <c r="I86" s="4" t="str">
        <f>"北塔区高撑小学"</f>
        <v>北塔区高撑小学</v>
      </c>
    </row>
    <row r="87" spans="1:9" ht="13.5">
      <c r="A87" s="4">
        <v>85</v>
      </c>
      <c r="B87" s="4" t="s">
        <v>11</v>
      </c>
      <c r="C87" s="4" t="str">
        <f>"钱晓兵"</f>
        <v>钱晓兵</v>
      </c>
      <c r="D87" s="4" t="str">
        <f t="shared" si="7"/>
        <v>女</v>
      </c>
      <c r="E87" s="4" t="str">
        <f>"1987-06-29"</f>
        <v>1987-06-29</v>
      </c>
      <c r="F87" s="4" t="str">
        <f t="shared" si="8"/>
        <v>本科</v>
      </c>
      <c r="G87" s="4" t="str">
        <f>"邵阳学院"</f>
        <v>邵阳学院</v>
      </c>
      <c r="H87" s="4" t="str">
        <f>"信息与计算科学"</f>
        <v>信息与计算科学</v>
      </c>
      <c r="I87" s="4" t="str">
        <f>"谷洲镇决菜小学"</f>
        <v>谷洲镇决菜小学</v>
      </c>
    </row>
    <row r="88" spans="1:9" ht="13.5">
      <c r="A88" s="4">
        <v>86</v>
      </c>
      <c r="B88" s="4" t="s">
        <v>11</v>
      </c>
      <c r="C88" s="4" t="str">
        <f>"陈海燕"</f>
        <v>陈海燕</v>
      </c>
      <c r="D88" s="4" t="str">
        <f t="shared" si="7"/>
        <v>女</v>
      </c>
      <c r="E88" s="4" t="str">
        <f>"1989-07-14"</f>
        <v>1989-07-14</v>
      </c>
      <c r="F88" s="4" t="str">
        <f t="shared" si="8"/>
        <v>本科</v>
      </c>
      <c r="G88" s="4" t="str">
        <f>"湘潭大学"</f>
        <v>湘潭大学</v>
      </c>
      <c r="H88" s="4" t="str">
        <f>"人力资源管理"</f>
        <v>人力资源管理</v>
      </c>
      <c r="I88" s="4" t="str">
        <f>"新邵县新田铺中学"</f>
        <v>新邵县新田铺中学</v>
      </c>
    </row>
    <row r="89" spans="1:9" ht="13.5">
      <c r="A89" s="4">
        <v>87</v>
      </c>
      <c r="B89" s="4" t="s">
        <v>11</v>
      </c>
      <c r="C89" s="4" t="str">
        <f>"黄世丽"</f>
        <v>黄世丽</v>
      </c>
      <c r="D89" s="4" t="str">
        <f t="shared" si="7"/>
        <v>女</v>
      </c>
      <c r="E89" s="4" t="str">
        <f>"1989-04-21"</f>
        <v>1989-04-21</v>
      </c>
      <c r="F89" s="4" t="str">
        <f t="shared" si="8"/>
        <v>本科</v>
      </c>
      <c r="G89" s="4" t="str">
        <f>"湖南师大"</f>
        <v>湖南师大</v>
      </c>
      <c r="H89" s="4" t="str">
        <f>"小学教育"</f>
        <v>小学教育</v>
      </c>
      <c r="I89" s="4" t="str">
        <f>"隆回县岩口镇马头完小"</f>
        <v>隆回县岩口镇马头完小</v>
      </c>
    </row>
    <row r="90" spans="1:9" ht="13.5">
      <c r="A90" s="4">
        <v>88</v>
      </c>
      <c r="B90" s="4" t="s">
        <v>11</v>
      </c>
      <c r="C90" s="4" t="str">
        <f>"李小梅"</f>
        <v>李小梅</v>
      </c>
      <c r="D90" s="4" t="str">
        <f t="shared" si="7"/>
        <v>女</v>
      </c>
      <c r="E90" s="4" t="str">
        <f>"1990-04-17"</f>
        <v>1990-04-17</v>
      </c>
      <c r="F90" s="4" t="str">
        <f t="shared" si="8"/>
        <v>本科</v>
      </c>
      <c r="G90" s="4" t="str">
        <f>"湖南师范大学"</f>
        <v>湖南师范大学</v>
      </c>
      <c r="H90" s="4" t="str">
        <f>"小学教育"</f>
        <v>小学教育</v>
      </c>
      <c r="I90" s="4" t="str">
        <f>"邵阳县郦家坪镇杉木桥小学"</f>
        <v>邵阳县郦家坪镇杉木桥小学</v>
      </c>
    </row>
    <row r="91" spans="1:9" ht="13.5">
      <c r="A91" s="4">
        <v>89</v>
      </c>
      <c r="B91" s="4" t="s">
        <v>11</v>
      </c>
      <c r="C91" s="4" t="str">
        <f>"孙敏敏"</f>
        <v>孙敏敏</v>
      </c>
      <c r="D91" s="4" t="str">
        <f t="shared" si="7"/>
        <v>女</v>
      </c>
      <c r="E91" s="4" t="str">
        <f>"1986-06-16"</f>
        <v>1986-06-16</v>
      </c>
      <c r="F91" s="4" t="str">
        <f t="shared" si="8"/>
        <v>本科</v>
      </c>
      <c r="G91" s="4" t="str">
        <f>"湖南师范大学"</f>
        <v>湖南师范大学</v>
      </c>
      <c r="H91" s="4" t="str">
        <f>"小学教育"</f>
        <v>小学教育</v>
      </c>
      <c r="I91" s="4" t="str">
        <f>"邵阳县塘渡口镇第五完全小学"</f>
        <v>邵阳县塘渡口镇第五完全小学</v>
      </c>
    </row>
    <row r="92" spans="1:9" ht="13.5">
      <c r="A92" s="4">
        <v>90</v>
      </c>
      <c r="B92" s="4" t="s">
        <v>11</v>
      </c>
      <c r="C92" s="4" t="str">
        <f>"简海艳"</f>
        <v>简海艳</v>
      </c>
      <c r="D92" s="4" t="str">
        <f t="shared" si="7"/>
        <v>女</v>
      </c>
      <c r="E92" s="4" t="str">
        <f>"1995-12-21"</f>
        <v>1995-12-21</v>
      </c>
      <c r="F92" s="4" t="str">
        <f t="shared" si="8"/>
        <v>本科</v>
      </c>
      <c r="G92" s="4" t="str">
        <f>"湖南师范大学"</f>
        <v>湖南师范大学</v>
      </c>
      <c r="H92" s="4" t="str">
        <f>"汉语言文学"</f>
        <v>汉语言文学</v>
      </c>
      <c r="I92" s="4" t="str">
        <f>"邵阳县九公桥镇中心完小"</f>
        <v>邵阳县九公桥镇中心完小</v>
      </c>
    </row>
    <row r="93" spans="1:9" ht="13.5">
      <c r="A93" s="4">
        <v>91</v>
      </c>
      <c r="B93" s="4" t="s">
        <v>11</v>
      </c>
      <c r="C93" s="4" t="str">
        <f>"廖菲菲"</f>
        <v>廖菲菲</v>
      </c>
      <c r="D93" s="4" t="str">
        <f t="shared" si="7"/>
        <v>女</v>
      </c>
      <c r="E93" s="4" t="str">
        <f>"1993-08-29"</f>
        <v>1993-08-29</v>
      </c>
      <c r="F93" s="4" t="str">
        <f>"专科"</f>
        <v>专科</v>
      </c>
      <c r="G93" s="4" t="str">
        <f>"湖南第一师范学院"</f>
        <v>湖南第一师范学院</v>
      </c>
      <c r="H93" s="4" t="str">
        <f>"初等教育"</f>
        <v>初等教育</v>
      </c>
      <c r="I93" s="4" t="str">
        <f>"湖南省邵阳市隆回县西洋江镇中心小学"</f>
        <v>湖南省邵阳市隆回县西洋江镇中心小学</v>
      </c>
    </row>
    <row r="94" spans="1:9" ht="13.5">
      <c r="A94" s="4">
        <v>92</v>
      </c>
      <c r="B94" s="4" t="s">
        <v>11</v>
      </c>
      <c r="C94" s="4" t="str">
        <f>"张增弟"</f>
        <v>张增弟</v>
      </c>
      <c r="D94" s="4" t="str">
        <f t="shared" si="7"/>
        <v>女</v>
      </c>
      <c r="E94" s="4" t="str">
        <f>"1988-08-08"</f>
        <v>1988-08-08</v>
      </c>
      <c r="F94" s="4" t="str">
        <f aca="true" t="shared" si="9" ref="F94:F109">"本科"</f>
        <v>本科</v>
      </c>
      <c r="G94" s="4" t="str">
        <f>"湖南师范大学"</f>
        <v>湖南师范大学</v>
      </c>
      <c r="H94" s="4" t="str">
        <f>"数学与应用数学"</f>
        <v>数学与应用数学</v>
      </c>
      <c r="I94" s="4" t="str">
        <f>"湖南省邵阳市新邵县严塘镇高桥中学"</f>
        <v>湖南省邵阳市新邵县严塘镇高桥中学</v>
      </c>
    </row>
    <row r="95" spans="1:9" ht="13.5">
      <c r="A95" s="4">
        <v>93</v>
      </c>
      <c r="B95" s="4" t="s">
        <v>11</v>
      </c>
      <c r="C95" s="4" t="str">
        <f>"陈瑶"</f>
        <v>陈瑶</v>
      </c>
      <c r="D95" s="4" t="str">
        <f t="shared" si="7"/>
        <v>女</v>
      </c>
      <c r="E95" s="4" t="str">
        <f>"1991-05-01"</f>
        <v>1991-05-01</v>
      </c>
      <c r="F95" s="4" t="str">
        <f t="shared" si="9"/>
        <v>本科</v>
      </c>
      <c r="G95" s="4" t="str">
        <f>"邵阳学院"</f>
        <v>邵阳学院</v>
      </c>
      <c r="H95" s="4" t="str">
        <f>"汉语言文学"</f>
        <v>汉语言文学</v>
      </c>
      <c r="I95" s="4" t="str">
        <f>"隆回县周旺镇中心小学"</f>
        <v>隆回县周旺镇中心小学</v>
      </c>
    </row>
    <row r="96" spans="1:9" ht="13.5">
      <c r="A96" s="4">
        <v>94</v>
      </c>
      <c r="B96" s="4" t="s">
        <v>11</v>
      </c>
      <c r="C96" s="4" t="str">
        <f>"杨媚媚"</f>
        <v>杨媚媚</v>
      </c>
      <c r="D96" s="4" t="str">
        <f t="shared" si="7"/>
        <v>女</v>
      </c>
      <c r="E96" s="4" t="str">
        <f>"1982-03-19"</f>
        <v>1982-03-19</v>
      </c>
      <c r="F96" s="4" t="str">
        <f t="shared" si="9"/>
        <v>本科</v>
      </c>
      <c r="G96" s="4" t="str">
        <f>"陕西师范大学"</f>
        <v>陕西师范大学</v>
      </c>
      <c r="H96" s="4" t="str">
        <f>"汉语言文学"</f>
        <v>汉语言文学</v>
      </c>
      <c r="I96" s="4" t="str">
        <f>"新田铺中心幼儿园"</f>
        <v>新田铺中心幼儿园</v>
      </c>
    </row>
    <row r="97" spans="1:9" ht="13.5">
      <c r="A97" s="4">
        <v>95</v>
      </c>
      <c r="B97" s="4" t="s">
        <v>11</v>
      </c>
      <c r="C97" s="4" t="str">
        <f>"蒋丽凤"</f>
        <v>蒋丽凤</v>
      </c>
      <c r="D97" s="4" t="str">
        <f t="shared" si="7"/>
        <v>女</v>
      </c>
      <c r="E97" s="4" t="str">
        <f>"1984-01-03"</f>
        <v>1984-01-03</v>
      </c>
      <c r="F97" s="4" t="str">
        <f t="shared" si="9"/>
        <v>本科</v>
      </c>
      <c r="G97" s="4" t="str">
        <f>"陕西师范大学"</f>
        <v>陕西师范大学</v>
      </c>
      <c r="H97" s="4" t="str">
        <f>"汉语言文学"</f>
        <v>汉语言文学</v>
      </c>
      <c r="I97" s="4" t="str">
        <f>"湖南省邵阳县塘渡口镇第五完全小学"</f>
        <v>湖南省邵阳县塘渡口镇第五完全小学</v>
      </c>
    </row>
    <row r="98" spans="1:9" ht="13.5">
      <c r="A98" s="4">
        <v>96</v>
      </c>
      <c r="B98" s="4" t="s">
        <v>11</v>
      </c>
      <c r="C98" s="4" t="str">
        <f>"王江河"</f>
        <v>王江河</v>
      </c>
      <c r="D98" s="4" t="str">
        <f t="shared" si="7"/>
        <v>女</v>
      </c>
      <c r="E98" s="4" t="str">
        <f>"1994-04-25"</f>
        <v>1994-04-25</v>
      </c>
      <c r="F98" s="4" t="str">
        <f t="shared" si="9"/>
        <v>本科</v>
      </c>
      <c r="G98" s="4" t="str">
        <f>"湖南师范大学"</f>
        <v>湖南师范大学</v>
      </c>
      <c r="H98" s="4" t="str">
        <f>"汉语言文学"</f>
        <v>汉语言文学</v>
      </c>
      <c r="I98" s="4" t="str">
        <f>"新宁县金石镇焦家垅小学"</f>
        <v>新宁县金石镇焦家垅小学</v>
      </c>
    </row>
    <row r="99" spans="1:9" ht="13.5">
      <c r="A99" s="4">
        <v>97</v>
      </c>
      <c r="B99" s="4" t="s">
        <v>11</v>
      </c>
      <c r="C99" s="4" t="str">
        <f>"李亚"</f>
        <v>李亚</v>
      </c>
      <c r="D99" s="4" t="str">
        <f t="shared" si="7"/>
        <v>女</v>
      </c>
      <c r="E99" s="4" t="str">
        <f>"1990-08-23"</f>
        <v>1990-08-23</v>
      </c>
      <c r="F99" s="4" t="str">
        <f t="shared" si="9"/>
        <v>本科</v>
      </c>
      <c r="G99" s="4" t="str">
        <f>"湖南理工"</f>
        <v>湖南理工</v>
      </c>
      <c r="H99" s="4" t="str">
        <f>"对外汉语"</f>
        <v>对外汉语</v>
      </c>
      <c r="I99" s="4" t="str">
        <f>"邵阳县塘渡口镇第四完全小学"</f>
        <v>邵阳县塘渡口镇第四完全小学</v>
      </c>
    </row>
    <row r="100" spans="1:9" ht="13.5">
      <c r="A100" s="4">
        <v>98</v>
      </c>
      <c r="B100" s="4" t="s">
        <v>11</v>
      </c>
      <c r="C100" s="4" t="str">
        <f>"罗诗语"</f>
        <v>罗诗语</v>
      </c>
      <c r="D100" s="4" t="str">
        <f t="shared" si="7"/>
        <v>女</v>
      </c>
      <c r="E100" s="4" t="str">
        <f>"1995-10-03"</f>
        <v>1995-10-03</v>
      </c>
      <c r="F100" s="4" t="str">
        <f t="shared" si="9"/>
        <v>本科</v>
      </c>
      <c r="G100" s="4" t="str">
        <f>"湘潭大学"</f>
        <v>湘潭大学</v>
      </c>
      <c r="H100" s="4" t="str">
        <f>"经济法"</f>
        <v>经济法</v>
      </c>
      <c r="I100" s="4" t="str">
        <f>"湖南省邵阳市新邵县坪上镇中心完全小学"</f>
        <v>湖南省邵阳市新邵县坪上镇中心完全小学</v>
      </c>
    </row>
    <row r="101" spans="1:9" ht="13.5">
      <c r="A101" s="4">
        <v>99</v>
      </c>
      <c r="B101" s="4" t="s">
        <v>11</v>
      </c>
      <c r="C101" s="4" t="str">
        <f>"唐媛"</f>
        <v>唐媛</v>
      </c>
      <c r="D101" s="4" t="str">
        <f t="shared" si="7"/>
        <v>女</v>
      </c>
      <c r="E101" s="4" t="str">
        <f>"1989-10-02"</f>
        <v>1989-10-02</v>
      </c>
      <c r="F101" s="4" t="str">
        <f t="shared" si="9"/>
        <v>本科</v>
      </c>
      <c r="G101" s="4" t="str">
        <f>"湖南理工学院南湖学院"</f>
        <v>湖南理工学院南湖学院</v>
      </c>
      <c r="H101" s="4" t="str">
        <f>"国际经济与贸易"</f>
        <v>国际经济与贸易</v>
      </c>
      <c r="I101" s="4" t="str">
        <f>"塘渡口镇初级中学"</f>
        <v>塘渡口镇初级中学</v>
      </c>
    </row>
    <row r="102" spans="1:9" ht="13.5">
      <c r="A102" s="4">
        <v>100</v>
      </c>
      <c r="B102" s="4" t="s">
        <v>11</v>
      </c>
      <c r="C102" s="4" t="str">
        <f>"周春叶"</f>
        <v>周春叶</v>
      </c>
      <c r="D102" s="4" t="str">
        <f t="shared" si="7"/>
        <v>女</v>
      </c>
      <c r="E102" s="4" t="str">
        <f>"1991-03-05"</f>
        <v>1991-03-05</v>
      </c>
      <c r="F102" s="4" t="str">
        <f t="shared" si="9"/>
        <v>本科</v>
      </c>
      <c r="G102" s="4" t="str">
        <f>"吉首大学"</f>
        <v>吉首大学</v>
      </c>
      <c r="H102" s="4" t="str">
        <f>"数学教育"</f>
        <v>数学教育</v>
      </c>
      <c r="I102" s="4" t="str">
        <f>"邵阳县蔡桥乡第二完小"</f>
        <v>邵阳县蔡桥乡第二完小</v>
      </c>
    </row>
    <row r="103" spans="1:9" ht="13.5">
      <c r="A103" s="4">
        <v>101</v>
      </c>
      <c r="B103" s="4" t="s">
        <v>11</v>
      </c>
      <c r="C103" s="4" t="str">
        <f>"张柳 "</f>
        <v>张柳 </v>
      </c>
      <c r="D103" s="4" t="str">
        <f t="shared" si="7"/>
        <v>女</v>
      </c>
      <c r="E103" s="4" t="str">
        <f>"1989-07-01"</f>
        <v>1989-07-01</v>
      </c>
      <c r="F103" s="4" t="str">
        <f t="shared" si="9"/>
        <v>本科</v>
      </c>
      <c r="G103" s="4" t="str">
        <f>"湖南第一师范学院（全日制）、湘潭大学（自考）"</f>
        <v>湖南第一师范学院（全日制）、湘潭大学（自考）</v>
      </c>
      <c r="H103" s="4" t="str">
        <f>"会计与统计核算、企业财务管理"</f>
        <v>会计与统计核算、企业财务管理</v>
      </c>
      <c r="I103" s="4" t="str">
        <f>"新邵县陈家坊镇中心小学"</f>
        <v>新邵县陈家坊镇中心小学</v>
      </c>
    </row>
    <row r="104" spans="1:9" ht="13.5">
      <c r="A104" s="4">
        <v>102</v>
      </c>
      <c r="B104" s="4" t="s">
        <v>11</v>
      </c>
      <c r="C104" s="4" t="str">
        <f>"何欢迎"</f>
        <v>何欢迎</v>
      </c>
      <c r="D104" s="4" t="str">
        <f t="shared" si="7"/>
        <v>女</v>
      </c>
      <c r="E104" s="4" t="str">
        <f>"1985-11-25"</f>
        <v>1985-11-25</v>
      </c>
      <c r="F104" s="4" t="str">
        <f t="shared" si="9"/>
        <v>本科</v>
      </c>
      <c r="G104" s="4" t="str">
        <f>"湖南师范大学"</f>
        <v>湖南师范大学</v>
      </c>
      <c r="H104" s="4" t="str">
        <f>"英语"</f>
        <v>英语</v>
      </c>
      <c r="I104" s="4" t="str">
        <f>"新邵县新田铺中心小学"</f>
        <v>新邵县新田铺中心小学</v>
      </c>
    </row>
    <row r="105" spans="1:9" ht="13.5">
      <c r="A105" s="4">
        <v>103</v>
      </c>
      <c r="B105" s="4" t="s">
        <v>11</v>
      </c>
      <c r="C105" s="4" t="str">
        <f>"刘志香"</f>
        <v>刘志香</v>
      </c>
      <c r="D105" s="4" t="str">
        <f t="shared" si="7"/>
        <v>女</v>
      </c>
      <c r="E105" s="4" t="str">
        <f>"1985-07-18"</f>
        <v>1985-07-18</v>
      </c>
      <c r="F105" s="4" t="str">
        <f t="shared" si="9"/>
        <v>本科</v>
      </c>
      <c r="G105" s="4" t="str">
        <f>"湖南师范大学"</f>
        <v>湖南师范大学</v>
      </c>
      <c r="H105" s="4" t="str">
        <f>"汉语言文学"</f>
        <v>汉语言文学</v>
      </c>
      <c r="I105" s="4" t="str">
        <f>"新邵县巨口铺镇中心小学"</f>
        <v>新邵县巨口铺镇中心小学</v>
      </c>
    </row>
    <row r="106" spans="1:9" ht="13.5">
      <c r="A106" s="4">
        <v>104</v>
      </c>
      <c r="B106" s="4" t="s">
        <v>11</v>
      </c>
      <c r="C106" s="4" t="str">
        <f>"蒙昭雅"</f>
        <v>蒙昭雅</v>
      </c>
      <c r="D106" s="4" t="str">
        <f t="shared" si="7"/>
        <v>女</v>
      </c>
      <c r="E106" s="4" t="str">
        <f>"1991-02-24"</f>
        <v>1991-02-24</v>
      </c>
      <c r="F106" s="4" t="str">
        <f t="shared" si="9"/>
        <v>本科</v>
      </c>
      <c r="G106" s="4" t="str">
        <f>"长沙理工大学城南学院"</f>
        <v>长沙理工大学城南学院</v>
      </c>
      <c r="H106" s="4" t="str">
        <f>"英语"</f>
        <v>英语</v>
      </c>
      <c r="I106" s="4" t="str">
        <f>"邵东市牛马司镇高岭小学"</f>
        <v>邵东市牛马司镇高岭小学</v>
      </c>
    </row>
    <row r="107" spans="1:9" ht="13.5">
      <c r="A107" s="4">
        <v>105</v>
      </c>
      <c r="B107" s="4" t="s">
        <v>11</v>
      </c>
      <c r="C107" s="4" t="str">
        <f>"封林华"</f>
        <v>封林华</v>
      </c>
      <c r="D107" s="4" t="str">
        <f t="shared" si="7"/>
        <v>女</v>
      </c>
      <c r="E107" s="4" t="str">
        <f>"1988-06-25"</f>
        <v>1988-06-25</v>
      </c>
      <c r="F107" s="4" t="str">
        <f t="shared" si="9"/>
        <v>本科</v>
      </c>
      <c r="G107" s="4" t="str">
        <f>"邵阳学院"</f>
        <v>邵阳学院</v>
      </c>
      <c r="H107" s="4" t="str">
        <f>"英语"</f>
        <v>英语</v>
      </c>
      <c r="I107" s="4" t="str">
        <f>"邵阳县五峰铺镇第二完小"</f>
        <v>邵阳县五峰铺镇第二完小</v>
      </c>
    </row>
    <row r="108" spans="1:9" ht="13.5">
      <c r="A108" s="4">
        <v>106</v>
      </c>
      <c r="B108" s="4" t="s">
        <v>11</v>
      </c>
      <c r="C108" s="4" t="str">
        <f>"陈湘"</f>
        <v>陈湘</v>
      </c>
      <c r="D108" s="4" t="str">
        <f t="shared" si="7"/>
        <v>女</v>
      </c>
      <c r="E108" s="4" t="str">
        <f>"1989-01-28"</f>
        <v>1989-01-28</v>
      </c>
      <c r="F108" s="4" t="str">
        <f t="shared" si="9"/>
        <v>本科</v>
      </c>
      <c r="G108" s="4" t="str">
        <f>"湖南涉外经济学院"</f>
        <v>湖南涉外经济学院</v>
      </c>
      <c r="H108" s="4" t="str">
        <f>"计算机科学与技术"</f>
        <v>计算机科学与技术</v>
      </c>
      <c r="I108" s="4" t="str">
        <f>"邵阳县第五完全小学"</f>
        <v>邵阳县第五完全小学</v>
      </c>
    </row>
    <row r="109" spans="1:9" ht="13.5">
      <c r="A109" s="4">
        <v>107</v>
      </c>
      <c r="B109" s="4" t="s">
        <v>11</v>
      </c>
      <c r="C109" s="4" t="str">
        <f>"罗诗"</f>
        <v>罗诗</v>
      </c>
      <c r="D109" s="4" t="str">
        <f t="shared" si="7"/>
        <v>女</v>
      </c>
      <c r="E109" s="4" t="str">
        <f>"1988-09-19"</f>
        <v>1988-09-19</v>
      </c>
      <c r="F109" s="4" t="str">
        <f t="shared" si="9"/>
        <v>本科</v>
      </c>
      <c r="G109" s="4" t="str">
        <f>"湖南商学院"</f>
        <v>湖南商学院</v>
      </c>
      <c r="H109" s="4" t="str">
        <f>"销售管理"</f>
        <v>销售管理</v>
      </c>
      <c r="I109" s="4" t="str">
        <f>"邵阳县黄亭市镇双清初级中学"</f>
        <v>邵阳县黄亭市镇双清初级中学</v>
      </c>
    </row>
    <row r="110" spans="1:9" ht="13.5">
      <c r="A110" s="4">
        <v>108</v>
      </c>
      <c r="B110" s="4" t="s">
        <v>11</v>
      </c>
      <c r="C110" s="4" t="str">
        <f>"郭敏娜"</f>
        <v>郭敏娜</v>
      </c>
      <c r="D110" s="4" t="str">
        <f t="shared" si="7"/>
        <v>女</v>
      </c>
      <c r="E110" s="4" t="str">
        <f>"1989-10-14"</f>
        <v>1989-10-14</v>
      </c>
      <c r="F110" s="4" t="str">
        <f>"专科"</f>
        <v>专科</v>
      </c>
      <c r="G110" s="4" t="str">
        <f>"湖南机电职业技术学院"</f>
        <v>湖南机电职业技术学院</v>
      </c>
      <c r="H110" s="4" t="str">
        <f>"电子商务"</f>
        <v>电子商务</v>
      </c>
      <c r="I110" s="4" t="str">
        <f>"邵阳县塘渡口镇云山小学"</f>
        <v>邵阳县塘渡口镇云山小学</v>
      </c>
    </row>
    <row r="111" spans="1:9" ht="13.5">
      <c r="A111" s="4">
        <v>109</v>
      </c>
      <c r="B111" s="4" t="s">
        <v>11</v>
      </c>
      <c r="C111" s="4" t="str">
        <f>"简陈芝"</f>
        <v>简陈芝</v>
      </c>
      <c r="D111" s="4" t="str">
        <f t="shared" si="7"/>
        <v>女</v>
      </c>
      <c r="E111" s="4" t="str">
        <f>"1988-03-05"</f>
        <v>1988-03-05</v>
      </c>
      <c r="F111" s="4" t="str">
        <f aca="true" t="shared" si="10" ref="F111:F143">"本科"</f>
        <v>本科</v>
      </c>
      <c r="G111" s="4" t="str">
        <f>"湖南理工学院南湖学院"</f>
        <v>湖南理工学院南湖学院</v>
      </c>
      <c r="H111" s="4" t="str">
        <f>"广告学"</f>
        <v>广告学</v>
      </c>
      <c r="I111" s="4" t="str">
        <f>"邵阳县第一实验小学"</f>
        <v>邵阳县第一实验小学</v>
      </c>
    </row>
    <row r="112" spans="1:9" ht="13.5">
      <c r="A112" s="4">
        <v>110</v>
      </c>
      <c r="B112" s="4" t="s">
        <v>11</v>
      </c>
      <c r="C112" s="4" t="str">
        <f>"李玉姣"</f>
        <v>李玉姣</v>
      </c>
      <c r="D112" s="4" t="str">
        <f t="shared" si="7"/>
        <v>女</v>
      </c>
      <c r="E112" s="4" t="str">
        <f>"1988-04-16"</f>
        <v>1988-04-16</v>
      </c>
      <c r="F112" s="4" t="str">
        <f t="shared" si="10"/>
        <v>本科</v>
      </c>
      <c r="G112" s="4" t="str">
        <f>"陕西师范大学网络教育学院"</f>
        <v>陕西师范大学网络教育学院</v>
      </c>
      <c r="H112" s="4" t="str">
        <f>"数学与应用数学"</f>
        <v>数学与应用数学</v>
      </c>
      <c r="I112" s="4" t="str">
        <f>"邵阳县谷洲镇中心完全小学"</f>
        <v>邵阳县谷洲镇中心完全小学</v>
      </c>
    </row>
    <row r="113" spans="1:9" ht="13.5">
      <c r="A113" s="4">
        <v>111</v>
      </c>
      <c r="B113" s="4" t="s">
        <v>11</v>
      </c>
      <c r="C113" s="4" t="str">
        <f>"向好宜"</f>
        <v>向好宜</v>
      </c>
      <c r="D113" s="4" t="str">
        <f t="shared" si="7"/>
        <v>女</v>
      </c>
      <c r="E113" s="4" t="str">
        <f>"1983-06-27"</f>
        <v>1983-06-27</v>
      </c>
      <c r="F113" s="4" t="str">
        <f t="shared" si="10"/>
        <v>本科</v>
      </c>
      <c r="G113" s="4" t="str">
        <f>"湖南师范大学"</f>
        <v>湖南师范大学</v>
      </c>
      <c r="H113" s="4" t="str">
        <f>"汉语言文学"</f>
        <v>汉语言文学</v>
      </c>
      <c r="I113" s="4" t="str">
        <f>"邵阳县谷洲镇初级中学"</f>
        <v>邵阳县谷洲镇初级中学</v>
      </c>
    </row>
    <row r="114" spans="1:9" ht="13.5">
      <c r="A114" s="4">
        <v>112</v>
      </c>
      <c r="B114" s="4" t="s">
        <v>11</v>
      </c>
      <c r="C114" s="4" t="str">
        <f>"潘叶兰"</f>
        <v>潘叶兰</v>
      </c>
      <c r="D114" s="4" t="str">
        <f t="shared" si="7"/>
        <v>女</v>
      </c>
      <c r="E114" s="4" t="str">
        <f>"1986-11-02"</f>
        <v>1986-11-02</v>
      </c>
      <c r="F114" s="4" t="str">
        <f t="shared" si="10"/>
        <v>本科</v>
      </c>
      <c r="G114" s="4" t="str">
        <f>"福建师范大学"</f>
        <v>福建师范大学</v>
      </c>
      <c r="H114" s="4" t="str">
        <f>"汉语言文学（教育）"</f>
        <v>汉语言文学（教育）</v>
      </c>
      <c r="I114" s="4" t="str">
        <f>"新邵县新田铺镇中心小学"</f>
        <v>新邵县新田铺镇中心小学</v>
      </c>
    </row>
    <row r="115" spans="1:9" ht="13.5">
      <c r="A115" s="4">
        <v>113</v>
      </c>
      <c r="B115" s="4" t="s">
        <v>11</v>
      </c>
      <c r="C115" s="4" t="str">
        <f>"周晰雯"</f>
        <v>周晰雯</v>
      </c>
      <c r="D115" s="4" t="str">
        <f t="shared" si="7"/>
        <v>女</v>
      </c>
      <c r="E115" s="4" t="str">
        <f>"1990-08-14"</f>
        <v>1990-08-14</v>
      </c>
      <c r="F115" s="4" t="str">
        <f t="shared" si="10"/>
        <v>本科</v>
      </c>
      <c r="G115" s="4" t="str">
        <f>"衡阳师范学院"</f>
        <v>衡阳师范学院</v>
      </c>
      <c r="H115" s="4" t="str">
        <f>"数学与应用数学"</f>
        <v>数学与应用数学</v>
      </c>
      <c r="I115" s="4" t="str">
        <f>"隆回县思源实验学校"</f>
        <v>隆回县思源实验学校</v>
      </c>
    </row>
    <row r="116" spans="1:9" ht="13.5">
      <c r="A116" s="4">
        <v>114</v>
      </c>
      <c r="B116" s="4" t="s">
        <v>11</v>
      </c>
      <c r="C116" s="4" t="str">
        <f>"阳星星"</f>
        <v>阳星星</v>
      </c>
      <c r="D116" s="4" t="str">
        <f t="shared" si="7"/>
        <v>女</v>
      </c>
      <c r="E116" s="4" t="str">
        <f>"1991-07-27"</f>
        <v>1991-07-27</v>
      </c>
      <c r="F116" s="4" t="str">
        <f t="shared" si="10"/>
        <v>本科</v>
      </c>
      <c r="G116" s="4" t="str">
        <f>"湖南师范大学"</f>
        <v>湖南师范大学</v>
      </c>
      <c r="H116" s="4" t="str">
        <f>"汉语言文学"</f>
        <v>汉语言文学</v>
      </c>
      <c r="I116" s="4" t="str">
        <f>"隆回县荷田乡黄皮小学"</f>
        <v>隆回县荷田乡黄皮小学</v>
      </c>
    </row>
    <row r="117" spans="1:9" ht="13.5">
      <c r="A117" s="4">
        <v>115</v>
      </c>
      <c r="B117" s="4" t="s">
        <v>11</v>
      </c>
      <c r="C117" s="4" t="str">
        <f>"刘玉玲"</f>
        <v>刘玉玲</v>
      </c>
      <c r="D117" s="4" t="str">
        <f t="shared" si="7"/>
        <v>女</v>
      </c>
      <c r="E117" s="4" t="str">
        <f>"1990-11-09"</f>
        <v>1990-11-09</v>
      </c>
      <c r="F117" s="4" t="str">
        <f t="shared" si="10"/>
        <v>本科</v>
      </c>
      <c r="G117" s="4" t="str">
        <f>"湖南师范大学"</f>
        <v>湖南师范大学</v>
      </c>
      <c r="H117" s="4" t="str">
        <f>"汉语言文学"</f>
        <v>汉语言文学</v>
      </c>
      <c r="I117" s="4" t="str">
        <f>"邵阳县下花桥镇宝贤学校"</f>
        <v>邵阳县下花桥镇宝贤学校</v>
      </c>
    </row>
    <row r="118" spans="1:9" ht="13.5">
      <c r="A118" s="4">
        <v>116</v>
      </c>
      <c r="B118" s="4" t="s">
        <v>11</v>
      </c>
      <c r="C118" s="4" t="str">
        <f>"张亚婷"</f>
        <v>张亚婷</v>
      </c>
      <c r="D118" s="4" t="str">
        <f t="shared" si="7"/>
        <v>女</v>
      </c>
      <c r="E118" s="4" t="str">
        <f>"1989-12-29"</f>
        <v>1989-12-29</v>
      </c>
      <c r="F118" s="4" t="str">
        <f t="shared" si="10"/>
        <v>本科</v>
      </c>
      <c r="G118" s="4" t="str">
        <f>"湖南农业大学"</f>
        <v>湖南农业大学</v>
      </c>
      <c r="H118" s="4" t="str">
        <f>"社会工作与管理"</f>
        <v>社会工作与管理</v>
      </c>
      <c r="I118" s="4" t="str">
        <f>"邵阳县黄荆乡中心完小"</f>
        <v>邵阳县黄荆乡中心完小</v>
      </c>
    </row>
    <row r="119" spans="1:9" ht="13.5">
      <c r="A119" s="4">
        <v>117</v>
      </c>
      <c r="B119" s="4" t="s">
        <v>12</v>
      </c>
      <c r="C119" s="4" t="str">
        <f>"赵佩云"</f>
        <v>赵佩云</v>
      </c>
      <c r="D119" s="4" t="str">
        <f t="shared" si="7"/>
        <v>女</v>
      </c>
      <c r="E119" s="4" t="str">
        <f>"1988-10-06"</f>
        <v>1988-10-06</v>
      </c>
      <c r="F119" s="4" t="str">
        <f t="shared" si="10"/>
        <v>本科</v>
      </c>
      <c r="G119" s="4" t="str">
        <f>"湖南艺术职业学院"</f>
        <v>湖南艺术职业学院</v>
      </c>
      <c r="H119" s="4" t="str">
        <f>"声乐表演"</f>
        <v>声乐表演</v>
      </c>
      <c r="I119" s="4" t="str">
        <f>"邵阳县塘渡口镇第五完全小学"</f>
        <v>邵阳县塘渡口镇第五完全小学</v>
      </c>
    </row>
    <row r="120" spans="1:9" ht="13.5">
      <c r="A120" s="4">
        <v>118</v>
      </c>
      <c r="B120" s="4" t="s">
        <v>12</v>
      </c>
      <c r="C120" s="4" t="str">
        <f>"卢道义"</f>
        <v>卢道义</v>
      </c>
      <c r="D120" s="4" t="str">
        <f t="shared" si="7"/>
        <v>女</v>
      </c>
      <c r="E120" s="4" t="str">
        <f>"1989-04-27"</f>
        <v>1989-04-27</v>
      </c>
      <c r="F120" s="4" t="str">
        <f t="shared" si="10"/>
        <v>本科</v>
      </c>
      <c r="G120" s="4" t="str">
        <f>"广东外语外贸大学"</f>
        <v>广东外语外贸大学</v>
      </c>
      <c r="H120" s="4" t="str">
        <f>"音乐表演（声乐方向）"</f>
        <v>音乐表演（声乐方向）</v>
      </c>
      <c r="I120" s="4" t="str">
        <f>"隆回县荷香桥镇中学"</f>
        <v>隆回县荷香桥镇中学</v>
      </c>
    </row>
    <row r="121" spans="1:9" ht="13.5">
      <c r="A121" s="4">
        <v>119</v>
      </c>
      <c r="B121" s="4" t="s">
        <v>12</v>
      </c>
      <c r="C121" s="4" t="str">
        <f>"曾娟"</f>
        <v>曾娟</v>
      </c>
      <c r="D121" s="4" t="str">
        <f t="shared" si="7"/>
        <v>女</v>
      </c>
      <c r="E121" s="4" t="str">
        <f>"1991-01-06"</f>
        <v>1991-01-06</v>
      </c>
      <c r="F121" s="4" t="str">
        <f t="shared" si="10"/>
        <v>本科</v>
      </c>
      <c r="G121" s="4" t="str">
        <f>"邵阳学院"</f>
        <v>邵阳学院</v>
      </c>
      <c r="H121" s="4" t="str">
        <f>"音乐学"</f>
        <v>音乐学</v>
      </c>
      <c r="I121" s="4" t="str">
        <f>"邵阳县长阳铺镇梽木山完小"</f>
        <v>邵阳县长阳铺镇梽木山完小</v>
      </c>
    </row>
    <row r="122" spans="1:9" ht="13.5">
      <c r="A122" s="4">
        <v>120</v>
      </c>
      <c r="B122" s="4" t="s">
        <v>12</v>
      </c>
      <c r="C122" s="4" t="str">
        <f>"陈玲"</f>
        <v>陈玲</v>
      </c>
      <c r="D122" s="4" t="str">
        <f t="shared" si="7"/>
        <v>女</v>
      </c>
      <c r="E122" s="4" t="str">
        <f>"1987-06-06"</f>
        <v>1987-06-06</v>
      </c>
      <c r="F122" s="4" t="str">
        <f t="shared" si="10"/>
        <v>本科</v>
      </c>
      <c r="G122" s="4" t="str">
        <f>"湖南人文科技学院"</f>
        <v>湖南人文科技学院</v>
      </c>
      <c r="H122" s="4" t="str">
        <f>"音乐学"</f>
        <v>音乐学</v>
      </c>
      <c r="I122" s="4" t="str">
        <f>"隆回县周旺镇中心小学"</f>
        <v>隆回县周旺镇中心小学</v>
      </c>
    </row>
    <row r="123" spans="1:9" ht="13.5">
      <c r="A123" s="4">
        <v>121</v>
      </c>
      <c r="B123" s="4" t="s">
        <v>13</v>
      </c>
      <c r="C123" s="4" t="str">
        <f>"龙海玲"</f>
        <v>龙海玲</v>
      </c>
      <c r="D123" s="4" t="str">
        <f t="shared" si="7"/>
        <v>女</v>
      </c>
      <c r="E123" s="4" t="str">
        <f>"1982-05-26"</f>
        <v>1982-05-26</v>
      </c>
      <c r="F123" s="4" t="str">
        <f t="shared" si="10"/>
        <v>本科</v>
      </c>
      <c r="G123" s="4" t="str">
        <f>"湖南师范大学"</f>
        <v>湖南师范大学</v>
      </c>
      <c r="H123" s="4" t="str">
        <f>"汉语言文学"</f>
        <v>汉语言文学</v>
      </c>
      <c r="I123" s="4" t="str">
        <f>"邵阳县塘渡口镇初级中学"</f>
        <v>邵阳县塘渡口镇初级中学</v>
      </c>
    </row>
    <row r="124" spans="1:9" ht="13.5">
      <c r="A124" s="4">
        <v>122</v>
      </c>
      <c r="B124" s="4" t="s">
        <v>13</v>
      </c>
      <c r="C124" s="4" t="str">
        <f>"石迪慧"</f>
        <v>石迪慧</v>
      </c>
      <c r="D124" s="4" t="str">
        <f t="shared" si="7"/>
        <v>女</v>
      </c>
      <c r="E124" s="4" t="str">
        <f>"1993-11-27"</f>
        <v>1993-11-27</v>
      </c>
      <c r="F124" s="4" t="str">
        <f t="shared" si="10"/>
        <v>本科</v>
      </c>
      <c r="G124" s="4" t="str">
        <f>"衡阳师范学院"</f>
        <v>衡阳师范学院</v>
      </c>
      <c r="H124" s="4" t="str">
        <f>"汉语言文学"</f>
        <v>汉语言文学</v>
      </c>
      <c r="I124" s="4" t="str">
        <f>"邵东市城区第四初级中学"</f>
        <v>邵东市城区第四初级中学</v>
      </c>
    </row>
    <row r="125" spans="1:9" ht="13.5">
      <c r="A125" s="4">
        <v>123</v>
      </c>
      <c r="B125" s="4" t="s">
        <v>13</v>
      </c>
      <c r="C125" s="4" t="str">
        <f>"李雁群"</f>
        <v>李雁群</v>
      </c>
      <c r="D125" s="4" t="str">
        <f t="shared" si="7"/>
        <v>女</v>
      </c>
      <c r="E125" s="4" t="str">
        <f>"1987-08-20"</f>
        <v>1987-08-20</v>
      </c>
      <c r="F125" s="4" t="str">
        <f t="shared" si="10"/>
        <v>本科</v>
      </c>
      <c r="G125" s="4" t="str">
        <f>"邵阳学院"</f>
        <v>邵阳学院</v>
      </c>
      <c r="H125" s="4" t="str">
        <f>"汉语言文学"</f>
        <v>汉语言文学</v>
      </c>
      <c r="I125" s="4" t="str">
        <f>"武冈市思源实验学校"</f>
        <v>武冈市思源实验学校</v>
      </c>
    </row>
    <row r="126" spans="1:9" ht="13.5">
      <c r="A126" s="4">
        <v>124</v>
      </c>
      <c r="B126" s="4" t="s">
        <v>13</v>
      </c>
      <c r="C126" s="4" t="str">
        <f>"夏佳妮"</f>
        <v>夏佳妮</v>
      </c>
      <c r="D126" s="4" t="str">
        <f t="shared" si="7"/>
        <v>女</v>
      </c>
      <c r="E126" s="4" t="str">
        <f>"1996-11-27"</f>
        <v>1996-11-27</v>
      </c>
      <c r="F126" s="4" t="str">
        <f t="shared" si="10"/>
        <v>本科</v>
      </c>
      <c r="G126" s="4" t="str">
        <f>"邵阳学院"</f>
        <v>邵阳学院</v>
      </c>
      <c r="H126" s="4" t="str">
        <f>"小学教育"</f>
        <v>小学教育</v>
      </c>
      <c r="I126" s="4" t="str">
        <f>"武冈市安乐中学"</f>
        <v>武冈市安乐中学</v>
      </c>
    </row>
    <row r="127" spans="1:9" ht="13.5">
      <c r="A127" s="4">
        <v>125</v>
      </c>
      <c r="B127" s="4" t="s">
        <v>13</v>
      </c>
      <c r="C127" s="4" t="str">
        <f>"杨爱玉"</f>
        <v>杨爱玉</v>
      </c>
      <c r="D127" s="4" t="str">
        <f t="shared" si="7"/>
        <v>女</v>
      </c>
      <c r="E127" s="4" t="str">
        <f>"1984-10-16"</f>
        <v>1984-10-16</v>
      </c>
      <c r="F127" s="4" t="str">
        <f t="shared" si="10"/>
        <v>本科</v>
      </c>
      <c r="G127" s="4" t="str">
        <f>"湖南人文科技学院"</f>
        <v>湖南人文科技学院</v>
      </c>
      <c r="H127" s="4" t="str">
        <f>"汉语言文学"</f>
        <v>汉语言文学</v>
      </c>
      <c r="I127" s="4" t="str">
        <f>"邵东市城区第四初级中学"</f>
        <v>邵东市城区第四初级中学</v>
      </c>
    </row>
    <row r="128" spans="1:9" ht="13.5">
      <c r="A128" s="4">
        <v>126</v>
      </c>
      <c r="B128" s="4" t="s">
        <v>13</v>
      </c>
      <c r="C128" s="4" t="str">
        <f>"刘云艳"</f>
        <v>刘云艳</v>
      </c>
      <c r="D128" s="4" t="str">
        <f t="shared" si="7"/>
        <v>女</v>
      </c>
      <c r="E128" s="4" t="str">
        <f>"1988-09-12"</f>
        <v>1988-09-12</v>
      </c>
      <c r="F128" s="4" t="str">
        <f t="shared" si="10"/>
        <v>本科</v>
      </c>
      <c r="G128" s="4" t="str">
        <f>"湖南师范大学"</f>
        <v>湖南师范大学</v>
      </c>
      <c r="H128" s="4" t="str">
        <f>"汉语言文学"</f>
        <v>汉语言文学</v>
      </c>
      <c r="I128" s="4" t="str">
        <f>"邵阳县长阳铺镇中学"</f>
        <v>邵阳县长阳铺镇中学</v>
      </c>
    </row>
    <row r="129" spans="1:9" ht="13.5">
      <c r="A129" s="4">
        <v>127</v>
      </c>
      <c r="B129" s="4" t="s">
        <v>13</v>
      </c>
      <c r="C129" s="4" t="str">
        <f>"李海云"</f>
        <v>李海云</v>
      </c>
      <c r="D129" s="4" t="str">
        <f t="shared" si="7"/>
        <v>女</v>
      </c>
      <c r="E129" s="4" t="str">
        <f>"1983-04-08"</f>
        <v>1983-04-08</v>
      </c>
      <c r="F129" s="4" t="str">
        <f t="shared" si="10"/>
        <v>本科</v>
      </c>
      <c r="G129" s="4" t="str">
        <f>"中央广播电视大学"</f>
        <v>中央广播电视大学</v>
      </c>
      <c r="H129" s="4" t="str">
        <f>"汉语言文学"</f>
        <v>汉语言文学</v>
      </c>
      <c r="I129" s="4" t="str">
        <f>"邵阳县湾塘中学"</f>
        <v>邵阳县湾塘中学</v>
      </c>
    </row>
    <row r="130" spans="1:9" ht="13.5">
      <c r="A130" s="4">
        <v>128</v>
      </c>
      <c r="B130" s="4" t="s">
        <v>13</v>
      </c>
      <c r="C130" s="4" t="str">
        <f>"唐珍"</f>
        <v>唐珍</v>
      </c>
      <c r="D130" s="4" t="str">
        <f t="shared" si="7"/>
        <v>女</v>
      </c>
      <c r="E130" s="4" t="str">
        <f>"1983-01-12"</f>
        <v>1983-01-12</v>
      </c>
      <c r="F130" s="4" t="str">
        <f t="shared" si="10"/>
        <v>本科</v>
      </c>
      <c r="G130" s="4" t="str">
        <f>"中央广播电视大学"</f>
        <v>中央广播电视大学</v>
      </c>
      <c r="H130" s="4" t="str">
        <f>"汉语言文学"</f>
        <v>汉语言文学</v>
      </c>
      <c r="I130" s="4" t="str">
        <f>"邵阳县谷洲镇中学"</f>
        <v>邵阳县谷洲镇中学</v>
      </c>
    </row>
    <row r="131" spans="1:9" ht="13.5">
      <c r="A131" s="4">
        <v>129</v>
      </c>
      <c r="B131" s="4" t="s">
        <v>13</v>
      </c>
      <c r="C131" s="4" t="str">
        <f>"唐娟"</f>
        <v>唐娟</v>
      </c>
      <c r="D131" s="4" t="str">
        <f t="shared" si="7"/>
        <v>女</v>
      </c>
      <c r="E131" s="4" t="str">
        <f>"1981-09-18"</f>
        <v>1981-09-18</v>
      </c>
      <c r="F131" s="4" t="str">
        <f t="shared" si="10"/>
        <v>本科</v>
      </c>
      <c r="G131" s="4" t="str">
        <f>"中央广播电视大学"</f>
        <v>中央广播电视大学</v>
      </c>
      <c r="H131" s="4" t="str">
        <f>"汉语言文学"</f>
        <v>汉语言文学</v>
      </c>
      <c r="I131" s="4" t="str">
        <f>"邵阳县九公桥镇中学"</f>
        <v>邵阳县九公桥镇中学</v>
      </c>
    </row>
    <row r="132" spans="1:9" ht="13.5">
      <c r="A132" s="4">
        <v>130</v>
      </c>
      <c r="B132" s="4" t="s">
        <v>14</v>
      </c>
      <c r="C132" s="4" t="str">
        <f>"赵永艳"</f>
        <v>赵永艳</v>
      </c>
      <c r="D132" s="4" t="str">
        <f t="shared" si="7"/>
        <v>女</v>
      </c>
      <c r="E132" s="4" t="str">
        <f>"1989-04-04"</f>
        <v>1989-04-04</v>
      </c>
      <c r="F132" s="4" t="str">
        <f t="shared" si="10"/>
        <v>本科</v>
      </c>
      <c r="G132" s="4" t="str">
        <f>"湖南省第一师范学院"</f>
        <v>湖南省第一师范学院</v>
      </c>
      <c r="H132" s="4" t="str">
        <f>"教育管理专业"</f>
        <v>教育管理专业</v>
      </c>
      <c r="I132" s="4" t="str">
        <f>"邵阳县第十一初级中学"</f>
        <v>邵阳县第十一初级中学</v>
      </c>
    </row>
    <row r="133" spans="1:9" ht="13.5">
      <c r="A133" s="4">
        <v>131</v>
      </c>
      <c r="B133" s="4" t="s">
        <v>14</v>
      </c>
      <c r="C133" s="4" t="str">
        <f>"徐沛"</f>
        <v>徐沛</v>
      </c>
      <c r="D133" s="4" t="str">
        <f t="shared" si="7"/>
        <v>女</v>
      </c>
      <c r="E133" s="4" t="str">
        <f>"1989-09-10"</f>
        <v>1989-09-10</v>
      </c>
      <c r="F133" s="4" t="str">
        <f t="shared" si="10"/>
        <v>本科</v>
      </c>
      <c r="G133" s="4" t="str">
        <f>"湖南师范大学"</f>
        <v>湖南师范大学</v>
      </c>
      <c r="H133" s="4" t="str">
        <f>"教育管理"</f>
        <v>教育管理</v>
      </c>
      <c r="I133" s="4" t="str">
        <f>"邵阳县长阳铺银仙桥民族学校"</f>
        <v>邵阳县长阳铺银仙桥民族学校</v>
      </c>
    </row>
    <row r="134" spans="1:9" ht="13.5">
      <c r="A134" s="4">
        <v>132</v>
      </c>
      <c r="B134" s="4" t="s">
        <v>14</v>
      </c>
      <c r="C134" s="4" t="str">
        <f>"李也"</f>
        <v>李也</v>
      </c>
      <c r="D134" s="4" t="str">
        <f>"男"</f>
        <v>男</v>
      </c>
      <c r="E134" s="4" t="str">
        <f>"1988-08-21"</f>
        <v>1988-08-21</v>
      </c>
      <c r="F134" s="4" t="str">
        <f t="shared" si="10"/>
        <v>本科</v>
      </c>
      <c r="G134" s="4" t="str">
        <f>"湖南科技大学"</f>
        <v>湖南科技大学</v>
      </c>
      <c r="H134" s="4" t="str">
        <f>"电气自动化"</f>
        <v>电气自动化</v>
      </c>
      <c r="I134" s="4" t="str">
        <f>"邵阳县青云中学"</f>
        <v>邵阳县青云中学</v>
      </c>
    </row>
    <row r="135" spans="1:9" ht="13.5">
      <c r="A135" s="4">
        <v>133</v>
      </c>
      <c r="B135" s="4" t="s">
        <v>14</v>
      </c>
      <c r="C135" s="4" t="str">
        <f>"袁芳平"</f>
        <v>袁芳平</v>
      </c>
      <c r="D135" s="4" t="str">
        <f aca="true" t="shared" si="11" ref="D135:D143">"女"</f>
        <v>女</v>
      </c>
      <c r="E135" s="4" t="str">
        <f>"1990-04-03"</f>
        <v>1990-04-03</v>
      </c>
      <c r="F135" s="4" t="str">
        <f t="shared" si="10"/>
        <v>本科</v>
      </c>
      <c r="G135" s="4" t="str">
        <f>"湖南第一师范学院"</f>
        <v>湖南第一师范学院</v>
      </c>
      <c r="H135" s="4" t="str">
        <f>"教育管理"</f>
        <v>教育管理</v>
      </c>
      <c r="I135" s="4" t="str">
        <f>"邵阳市隆回县罗洪镇孟公九年义务制学校"</f>
        <v>邵阳市隆回县罗洪镇孟公九年义务制学校</v>
      </c>
    </row>
    <row r="136" spans="1:9" ht="13.5">
      <c r="A136" s="4">
        <v>134</v>
      </c>
      <c r="B136" s="4" t="s">
        <v>15</v>
      </c>
      <c r="C136" s="4" t="str">
        <f>"周颖"</f>
        <v>周颖</v>
      </c>
      <c r="D136" s="4" t="str">
        <f t="shared" si="11"/>
        <v>女</v>
      </c>
      <c r="E136" s="4" t="str">
        <f>"1985-02-20"</f>
        <v>1985-02-20</v>
      </c>
      <c r="F136" s="4" t="str">
        <f t="shared" si="10"/>
        <v>本科</v>
      </c>
      <c r="G136" s="4" t="str">
        <f>"陕西师范大学"</f>
        <v>陕西师范大学</v>
      </c>
      <c r="H136" s="4" t="str">
        <f>"英语"</f>
        <v>英语</v>
      </c>
      <c r="I136" s="4" t="str">
        <f>"邵阳县岩口铺中学"</f>
        <v>邵阳县岩口铺中学</v>
      </c>
    </row>
    <row r="137" spans="1:9" ht="13.5">
      <c r="A137" s="4">
        <v>135</v>
      </c>
      <c r="B137" s="4" t="s">
        <v>15</v>
      </c>
      <c r="C137" s="4" t="str">
        <f>"胡爱华"</f>
        <v>胡爱华</v>
      </c>
      <c r="D137" s="4" t="str">
        <f t="shared" si="11"/>
        <v>女</v>
      </c>
      <c r="E137" s="4" t="str">
        <f>"1983-09-02"</f>
        <v>1983-09-02</v>
      </c>
      <c r="F137" s="4" t="str">
        <f t="shared" si="10"/>
        <v>本科</v>
      </c>
      <c r="G137" s="4" t="str">
        <f>"陕西师范大学"</f>
        <v>陕西师范大学</v>
      </c>
      <c r="H137" s="4" t="str">
        <f>"英语"</f>
        <v>英语</v>
      </c>
      <c r="I137" s="4" t="str">
        <f>"邵阳县塘渡口镇中学"</f>
        <v>邵阳县塘渡口镇中学</v>
      </c>
    </row>
    <row r="138" spans="1:9" ht="13.5">
      <c r="A138" s="4">
        <v>136</v>
      </c>
      <c r="B138" s="4" t="s">
        <v>15</v>
      </c>
      <c r="C138" s="4" t="str">
        <f>"李芳红"</f>
        <v>李芳红</v>
      </c>
      <c r="D138" s="4" t="str">
        <f t="shared" si="11"/>
        <v>女</v>
      </c>
      <c r="E138" s="4" t="str">
        <f>"1987-02-15"</f>
        <v>1987-02-15</v>
      </c>
      <c r="F138" s="4" t="str">
        <f t="shared" si="10"/>
        <v>本科</v>
      </c>
      <c r="G138" s="4" t="str">
        <f>"中南大学"</f>
        <v>中南大学</v>
      </c>
      <c r="H138" s="4" t="str">
        <f>"英语"</f>
        <v>英语</v>
      </c>
      <c r="I138" s="4" t="str">
        <f>"新邵县雀塘镇大石完小"</f>
        <v>新邵县雀塘镇大石完小</v>
      </c>
    </row>
    <row r="139" spans="1:9" ht="13.5">
      <c r="A139" s="4">
        <v>137</v>
      </c>
      <c r="B139" s="4" t="s">
        <v>15</v>
      </c>
      <c r="C139" s="4" t="str">
        <f>"马艳"</f>
        <v>马艳</v>
      </c>
      <c r="D139" s="4" t="str">
        <f t="shared" si="11"/>
        <v>女</v>
      </c>
      <c r="E139" s="4" t="str">
        <f>"1991-02-01"</f>
        <v>1991-02-01</v>
      </c>
      <c r="F139" s="4" t="str">
        <f t="shared" si="10"/>
        <v>本科</v>
      </c>
      <c r="G139" s="4" t="str">
        <f>"吉首大学"</f>
        <v>吉首大学</v>
      </c>
      <c r="H139" s="4" t="str">
        <f>"英语师范"</f>
        <v>英语师范</v>
      </c>
      <c r="I139" s="4" t="str">
        <f>"新邵言栗中学"</f>
        <v>新邵言栗中学</v>
      </c>
    </row>
    <row r="140" spans="1:9" ht="13.5">
      <c r="A140" s="4">
        <v>138</v>
      </c>
      <c r="B140" s="4" t="s">
        <v>15</v>
      </c>
      <c r="C140" s="4" t="str">
        <f>"李玉林"</f>
        <v>李玉林</v>
      </c>
      <c r="D140" s="4" t="str">
        <f t="shared" si="11"/>
        <v>女</v>
      </c>
      <c r="E140" s="4" t="str">
        <f>"1987-05-23"</f>
        <v>1987-05-23</v>
      </c>
      <c r="F140" s="4" t="str">
        <f t="shared" si="10"/>
        <v>本科</v>
      </c>
      <c r="G140" s="4" t="str">
        <f>"湖南城市学院"</f>
        <v>湖南城市学院</v>
      </c>
      <c r="H140" s="4" t="str">
        <f>"英语"</f>
        <v>英语</v>
      </c>
      <c r="I140" s="4" t="str">
        <f>"邵阳县长阳铺镇初级中学"</f>
        <v>邵阳县长阳铺镇初级中学</v>
      </c>
    </row>
    <row r="141" spans="1:9" ht="13.5">
      <c r="A141" s="4">
        <v>139</v>
      </c>
      <c r="B141" s="4" t="s">
        <v>15</v>
      </c>
      <c r="C141" s="4" t="str">
        <f>"陈辉兰"</f>
        <v>陈辉兰</v>
      </c>
      <c r="D141" s="4" t="str">
        <f t="shared" si="11"/>
        <v>女</v>
      </c>
      <c r="E141" s="4" t="str">
        <f>"1989-01-05"</f>
        <v>1989-01-05</v>
      </c>
      <c r="F141" s="4" t="str">
        <f t="shared" si="10"/>
        <v>本科</v>
      </c>
      <c r="G141" s="4" t="str">
        <f>"中南大学"</f>
        <v>中南大学</v>
      </c>
      <c r="H141" s="4" t="str">
        <f>"英语"</f>
        <v>英语</v>
      </c>
      <c r="I141" s="4" t="str">
        <f>"新邵县陈家坊镇胡家塘学校"</f>
        <v>新邵县陈家坊镇胡家塘学校</v>
      </c>
    </row>
    <row r="142" spans="1:9" ht="13.5">
      <c r="A142" s="4">
        <v>140</v>
      </c>
      <c r="B142" s="4" t="s">
        <v>15</v>
      </c>
      <c r="C142" s="4" t="str">
        <f>"曾雅琦"</f>
        <v>曾雅琦</v>
      </c>
      <c r="D142" s="4" t="str">
        <f t="shared" si="11"/>
        <v>女</v>
      </c>
      <c r="E142" s="4" t="str">
        <f>"1987-10-16"</f>
        <v>1987-10-16</v>
      </c>
      <c r="F142" s="4" t="str">
        <f t="shared" si="10"/>
        <v>本科</v>
      </c>
      <c r="G142" s="4" t="str">
        <f>"中南大学"</f>
        <v>中南大学</v>
      </c>
      <c r="H142" s="4" t="str">
        <f>"英语"</f>
        <v>英语</v>
      </c>
      <c r="I142" s="4" t="str">
        <f>"新邵县雀塘镇寺门前中学"</f>
        <v>新邵县雀塘镇寺门前中学</v>
      </c>
    </row>
    <row r="143" spans="1:9" ht="13.5">
      <c r="A143" s="4">
        <v>141</v>
      </c>
      <c r="B143" s="4" t="s">
        <v>15</v>
      </c>
      <c r="C143" s="4" t="str">
        <f>"黄鹏程"</f>
        <v>黄鹏程</v>
      </c>
      <c r="D143" s="4" t="str">
        <f t="shared" si="11"/>
        <v>女</v>
      </c>
      <c r="E143" s="4" t="str">
        <f>"1987-09-08"</f>
        <v>1987-09-08</v>
      </c>
      <c r="F143" s="4" t="str">
        <f t="shared" si="10"/>
        <v>本科</v>
      </c>
      <c r="G143" s="4" t="str">
        <f>"邵阳学院"</f>
        <v>邵阳学院</v>
      </c>
      <c r="H143" s="4" t="str">
        <f>"英语"</f>
        <v>英语</v>
      </c>
      <c r="I143" s="4" t="str">
        <f>"新邵县陈家坊镇中学"</f>
        <v>新邵县陈家坊镇中学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2021-08-25T01:24:50Z</dcterms:created>
  <dcterms:modified xsi:type="dcterms:W3CDTF">2021-08-25T11:36:04Z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E5B39860F25A4F548593CDB1FE405C5B</vt:lpwstr>
  </property>
  <property fmtid="{D5CDD505-2E9C-101B-9397-08002B2CF9AE}" pid="4" name="KSOProductBuildV">
    <vt:lpwstr>2052-11.1.0.10700</vt:lpwstr>
  </property>
</Properties>
</file>